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225" windowHeight="10920" firstSheet="1" activeTab="1"/>
  </bookViews>
  <sheets>
    <sheet name="data&amp;calc" sheetId="1" state="hidden" r:id="rId1"/>
    <sheet name="Input" sheetId="2" r:id="rId2"/>
    <sheet name="Output" sheetId="3" r:id="rId3"/>
    <sheet name="Catalog" sheetId="4" r:id="rId4"/>
  </sheets>
  <definedNames>
    <definedName name="_xlnm.Print_Area" localSheetId="1">'Input'!$A$6:$J$62</definedName>
    <definedName name="_xlnm.Print_Area" localSheetId="2">'Output'!$A$5:$Q$63</definedName>
  </definedNames>
  <calcPr fullCalcOnLoad="1"/>
</workbook>
</file>

<file path=xl/sharedStrings.xml><?xml version="1.0" encoding="utf-8"?>
<sst xmlns="http://schemas.openxmlformats.org/spreadsheetml/2006/main" count="386" uniqueCount="257">
  <si>
    <t>m²</t>
  </si>
  <si>
    <t>lin.m</t>
  </si>
  <si>
    <t>pcs</t>
  </si>
  <si>
    <t>drawing…</t>
  </si>
  <si>
    <t>2.28 m</t>
  </si>
  <si>
    <t>3.05 m</t>
  </si>
  <si>
    <t>5.08 m</t>
  </si>
  <si>
    <t>6.10 m</t>
  </si>
  <si>
    <t>7.62 m</t>
  </si>
  <si>
    <t>9.15 m</t>
  </si>
  <si>
    <t>12.20 m</t>
  </si>
  <si>
    <t>15.25 m</t>
  </si>
  <si>
    <t>price/unit</t>
  </si>
  <si>
    <t>total price</t>
  </si>
  <si>
    <t>Clear Splice Wash</t>
  </si>
  <si>
    <t>Spray Adhesive / Primer</t>
  </si>
  <si>
    <t>QS 6" Splice Tape</t>
  </si>
  <si>
    <t>QS 3" Splice Tape</t>
  </si>
  <si>
    <t>QS 9" FormFlash</t>
  </si>
  <si>
    <t>QS 12" FormFlash</t>
  </si>
  <si>
    <t>Lap Sealant HS</t>
  </si>
  <si>
    <t>Splice Adhesive Brushes</t>
  </si>
  <si>
    <t>QuickScrubber Kit</t>
  </si>
  <si>
    <t>Silicon Rubber Rollers</t>
  </si>
  <si>
    <t>QuickSeam Roller Sleeves</t>
  </si>
  <si>
    <t>White Crayon Marker</t>
  </si>
  <si>
    <t>Firestone Membrane Lengths</t>
  </si>
  <si>
    <t>100' / 30.50m</t>
  </si>
  <si>
    <t>200' / 61.00m</t>
  </si>
  <si>
    <t>cans</t>
  </si>
  <si>
    <t>carton</t>
  </si>
  <si>
    <t>Input</t>
  </si>
  <si>
    <t>roll width</t>
  </si>
  <si>
    <t>Suggested lin.m of seams,
for 30.50m long rolls</t>
  </si>
  <si>
    <t>Suggested lin.m of seams,
for 61.00m long rolls</t>
  </si>
  <si>
    <t>nbr of rolls
(30.50m)</t>
  </si>
  <si>
    <t>nbr of rolls
(61.00m)</t>
  </si>
  <si>
    <t>QS SA 18" Flashing</t>
  </si>
  <si>
    <t xml:space="preserve"> m²</t>
  </si>
  <si>
    <t xml:space="preserve"> %</t>
  </si>
  <si>
    <t>extra for embankment</t>
  </si>
  <si>
    <t>extra for top anchoring</t>
  </si>
  <si>
    <t>extra because of loss%</t>
  </si>
  <si>
    <t>Europe</t>
  </si>
  <si>
    <t>Middle-East</t>
  </si>
  <si>
    <t>Asia</t>
  </si>
  <si>
    <t>Oceania</t>
  </si>
  <si>
    <t xml:space="preserve"> rolls</t>
  </si>
  <si>
    <t>discount (%)</t>
  </si>
  <si>
    <t>7.5' (2.28 m) x</t>
  </si>
  <si>
    <t>10' (3.05 m) x</t>
  </si>
  <si>
    <t xml:space="preserve"> 20' (6.10 m) x</t>
  </si>
  <si>
    <t>30' (9.15 m) x</t>
  </si>
  <si>
    <t>40' (12.20 m) x</t>
  </si>
  <si>
    <t>50' (15.25 m) x</t>
  </si>
  <si>
    <t>25' (7.62 m) x</t>
  </si>
  <si>
    <t>16.7' (5.08 m) x</t>
  </si>
  <si>
    <t>DATA &amp; DETAILED CALCULATION SHEET</t>
  </si>
  <si>
    <t>Regions</t>
  </si>
  <si>
    <t>this selection will determine the coverage rate of primers and adhesives</t>
  </si>
  <si>
    <t>Firestone Membranes Type</t>
  </si>
  <si>
    <t>Calculation of suggested number of splices</t>
  </si>
  <si>
    <t>CASE 1 (30.50m long membranes)</t>
  </si>
  <si>
    <t>CASE 1 (61.00m long membranes)</t>
  </si>
  <si>
    <t>TOTAL LIN.M OF SEAMS:</t>
  </si>
  <si>
    <t>Calculation of suggested number of patches</t>
  </si>
  <si>
    <t>at T-joints and at Tape overlap each 30.5m</t>
  </si>
  <si>
    <t>TOTAL NBR OF EPDM ROLLS / TOTAL NBR OF QS TAPE ROLLS (see up)</t>
  </si>
  <si>
    <t>TOTAL NBR OF PATCHES:</t>
  </si>
  <si>
    <t>Calculation of first suggested surface area EPDM</t>
  </si>
  <si>
    <t>incl. loss percentage, extra for anchoring and slope of embankment</t>
  </si>
  <si>
    <t>TOTAL AREA EPDM (1)</t>
  </si>
  <si>
    <t>Calculation of final surface area EPDM</t>
  </si>
  <si>
    <t>ie Input "for calculation" + overlap for splices</t>
  </si>
  <si>
    <t>input m² for calculation (after suggested area, see above)</t>
  </si>
  <si>
    <t>extra m² for overlap (0,15m) of splices</t>
  </si>
  <si>
    <t>TOTAL AREA EPDM (2)</t>
  </si>
  <si>
    <t>Tools:</t>
  </si>
  <si>
    <t>QuickSeam 9" FormFlash</t>
  </si>
  <si>
    <t>W56RAC1650</t>
  </si>
  <si>
    <t>QuickSeam 12" FormFlash</t>
  </si>
  <si>
    <t>W56RAC1653</t>
  </si>
  <si>
    <t>QuickSeam 18" SA Flashing</t>
  </si>
  <si>
    <t>W56RAC1620</t>
  </si>
  <si>
    <t>W563587066</t>
  </si>
  <si>
    <t>gal.</t>
  </si>
  <si>
    <t>QuickPrime Plus (1 gal. pail)</t>
  </si>
  <si>
    <t>QuickPrime Plus (3 gal. pail)</t>
  </si>
  <si>
    <t>W563587044</t>
  </si>
  <si>
    <t>W563587041</t>
  </si>
  <si>
    <t>W563587099</t>
  </si>
  <si>
    <t>W563587058</t>
  </si>
  <si>
    <t>W563587059</t>
  </si>
  <si>
    <t>Splice Adhesive (1 gal. pail)</t>
  </si>
  <si>
    <t>Splice Adhesive (3 gal. pail)</t>
  </si>
  <si>
    <t>QuickSeam 3" Splice Tape</t>
  </si>
  <si>
    <t>W56RAC1603</t>
  </si>
  <si>
    <t>QuickSeam 6" Splice Tape</t>
  </si>
  <si>
    <t>W56RAC1626</t>
  </si>
  <si>
    <t>crtrgs</t>
  </si>
  <si>
    <t>W56358703E</t>
  </si>
  <si>
    <t>Water-Block Sealant</t>
  </si>
  <si>
    <t>W563587071</t>
  </si>
  <si>
    <t>Termination Bars</t>
  </si>
  <si>
    <t>W56RAC3061</t>
  </si>
  <si>
    <t>W563582040</t>
  </si>
  <si>
    <t>W563582045</t>
  </si>
  <si>
    <t>QuickScrubber Kits</t>
  </si>
  <si>
    <t>QuickScrubber Plus Stand-up Tool Kits</t>
  </si>
  <si>
    <t>W563582049</t>
  </si>
  <si>
    <t>W563582023</t>
  </si>
  <si>
    <t>QuickRoller</t>
  </si>
  <si>
    <t>W563582026</t>
  </si>
  <si>
    <t>W563582027</t>
  </si>
  <si>
    <t>W563582042</t>
  </si>
  <si>
    <t>White Crayon Markers</t>
  </si>
  <si>
    <t>price/unit
(incl. %)</t>
  </si>
  <si>
    <t xml:space="preserve"> pcs.</t>
  </si>
  <si>
    <t>Calculation of QS 9" FormFlash</t>
  </si>
  <si>
    <t>ie number of patches (patch size = 23cm x 15cm)</t>
  </si>
  <si>
    <t>Calculation of QuickPrime Plus</t>
  </si>
  <si>
    <t>consummation rate depends on selected Region!!! QP for Patches &amp; Seams</t>
  </si>
  <si>
    <t>Firestone Membrane Widths</t>
  </si>
  <si>
    <t>7.5' / 2.28m</t>
  </si>
  <si>
    <t>10' / 3.05m</t>
  </si>
  <si>
    <t>16.7' / 5.08m</t>
  </si>
  <si>
    <t>25' / 7.62m</t>
  </si>
  <si>
    <t>30' / 9.15m</t>
  </si>
  <si>
    <t>20' / 6.10m</t>
  </si>
  <si>
    <t>40' / 12.20m</t>
  </si>
  <si>
    <t>50' / 15.25m</t>
  </si>
  <si>
    <t>total lin.m of QS 3" Splice Tape :</t>
  </si>
  <si>
    <t>cov.rate
regions A
(lin.m/gal)</t>
  </si>
  <si>
    <t>cov.rate
regions B
(lin.m/gal)</t>
  </si>
  <si>
    <t>Regions B:</t>
  </si>
  <si>
    <t>Regions A :</t>
  </si>
  <si>
    <t>Europe, Australia &amp; New Zealand</t>
  </si>
  <si>
    <t>Middle-East, Asia</t>
  </si>
  <si>
    <t>QuickPrimer for this BOQ</t>
  </si>
  <si>
    <t>total lin.m of QS 9" FormFlash :</t>
  </si>
  <si>
    <t>total lin.m of QS 12" FormFlash :</t>
  </si>
  <si>
    <t>total lin.m of QS 6" Splice Tape :</t>
  </si>
  <si>
    <t>total lin.m of QS 18" SA Flashing :</t>
  </si>
  <si>
    <t xml:space="preserve"> carton</t>
  </si>
  <si>
    <t>TOTAL GALLONS QP+</t>
  </si>
  <si>
    <t>QS products</t>
  </si>
  <si>
    <t>Calculation of Lap Sealant</t>
  </si>
  <si>
    <t>for next details</t>
  </si>
  <si>
    <t>QS 9" FormFlash Patches :</t>
  </si>
  <si>
    <t>lin.m of LS</t>
  </si>
  <si>
    <t>cov.rate (lin.m/crtg)</t>
  </si>
  <si>
    <t>crtrg LS</t>
  </si>
  <si>
    <t>Termination Bar :</t>
  </si>
  <si>
    <t xml:space="preserve"> TOTAL LS</t>
  </si>
  <si>
    <t>QS SA Flashing :</t>
  </si>
  <si>
    <t>Calculation of WaterBlock Sealant</t>
  </si>
  <si>
    <t>lin.m of WB</t>
  </si>
  <si>
    <t>Detail Pipe Penetration</t>
  </si>
  <si>
    <t>materials to add…</t>
  </si>
  <si>
    <t>EPDM membrane :</t>
  </si>
  <si>
    <t>per unit</t>
  </si>
  <si>
    <t>nbr pipes</t>
  </si>
  <si>
    <t>total</t>
  </si>
  <si>
    <t>&gt;&gt;&gt; TO ADD IN CALC. OF FINAL SURFACE OF MEMBRANE</t>
  </si>
  <si>
    <t>for pipe penetration details</t>
  </si>
  <si>
    <t>QS 3" Splice Tape :</t>
  </si>
  <si>
    <t>&gt;&gt;&gt; TO ADD IN CALC. OF TOT. LIN.M OF SEAMS</t>
  </si>
  <si>
    <t>QS 12" FormFlash for corner patches :</t>
  </si>
  <si>
    <t>QS 12" FormFlash for around pipe :</t>
  </si>
  <si>
    <t>&gt;&gt;&gt; TO ADD IN OUTPUT LIST at QS 12" FF</t>
  </si>
  <si>
    <t>Part Number</t>
  </si>
  <si>
    <t>part number</t>
  </si>
  <si>
    <t>QuickScrubber Handles</t>
  </si>
  <si>
    <t>QuickScrubber Pads</t>
  </si>
  <si>
    <t>W563582056</t>
  </si>
  <si>
    <t>W563582057</t>
  </si>
  <si>
    <t>current selected region:</t>
  </si>
  <si>
    <t>current selected membrane length:</t>
  </si>
  <si>
    <t>current selected membrane type:</t>
  </si>
  <si>
    <t>current selected membrane width:</t>
  </si>
  <si>
    <t>Pail Volume</t>
  </si>
  <si>
    <t>3 gallon pails selected:</t>
  </si>
  <si>
    <t>PondGard EPDM (.040" / 1.0 mm)</t>
  </si>
  <si>
    <t>Geomembrane EPDM (.045" /1.1 mm)</t>
  </si>
  <si>
    <t>Geomembrane EPDM (.060" /1.5 mm)</t>
  </si>
  <si>
    <t>Bonding Adhesive BA-2004</t>
  </si>
  <si>
    <t>W563587052</t>
  </si>
  <si>
    <t>Silicone Rubber Roller</t>
  </si>
  <si>
    <t>.040" (1.0 mm) PondGard EPDM</t>
  </si>
  <si>
    <t>.045" (1.1 mm) Geomembrane EPDM</t>
  </si>
  <si>
    <t>.060" (1.5 mm) Geomembrane EPDM</t>
  </si>
  <si>
    <t>Bonding Adhesive E</t>
  </si>
  <si>
    <t>W563587051E</t>
  </si>
  <si>
    <t>liters</t>
  </si>
  <si>
    <t>Местоположение:</t>
  </si>
  <si>
    <t>Дата:</t>
  </si>
  <si>
    <t>C. Геометрические параметры водоема</t>
  </si>
  <si>
    <t>длина:</t>
  </si>
  <si>
    <t>ширина:</t>
  </si>
  <si>
    <t>толщина и тип:</t>
  </si>
  <si>
    <r>
      <t>Процент потери (из-за неправильной формы водоема)</t>
    </r>
    <r>
      <rPr>
        <sz val="10"/>
        <rFont val="Arial"/>
        <family val="2"/>
      </rPr>
      <t xml:space="preserve"> =</t>
    </r>
  </si>
  <si>
    <r>
      <t xml:space="preserve">(A) Площадь зеркала водоема </t>
    </r>
    <r>
      <rPr>
        <sz val="10"/>
        <rFont val="Arial"/>
        <family val="2"/>
      </rPr>
      <t xml:space="preserve"> =</t>
    </r>
  </si>
  <si>
    <t>A. Информация о проекте</t>
  </si>
  <si>
    <r>
      <t xml:space="preserve"> (C)</t>
    </r>
    <r>
      <rPr>
        <sz val="10"/>
        <rFont val="Arial"/>
        <family val="2"/>
      </rPr>
      <t xml:space="preserve"> З</t>
    </r>
    <r>
      <rPr>
        <b/>
        <sz val="10"/>
        <rFont val="Arial"/>
        <family val="2"/>
      </rPr>
      <t>аступ пленки на поверхности водоема по краям</t>
    </r>
    <r>
      <rPr>
        <sz val="10"/>
        <rFont val="Arial"/>
        <family val="2"/>
      </rPr>
      <t xml:space="preserve"> =</t>
    </r>
  </si>
  <si>
    <r>
      <t>(B)</t>
    </r>
    <r>
      <rPr>
        <b/>
        <sz val="10"/>
        <rFont val="Arial"/>
        <family val="2"/>
      </rPr>
      <t xml:space="preserve"> Периметр водоема по зеркалу воды</t>
    </r>
    <r>
      <rPr>
        <sz val="10"/>
        <rFont val="Arial"/>
        <family val="2"/>
      </rPr>
      <t xml:space="preserve"> =</t>
    </r>
  </si>
  <si>
    <r>
      <t xml:space="preserve"> </t>
    </r>
    <r>
      <rPr>
        <b/>
        <sz val="10"/>
        <color indexed="12"/>
        <rFont val="Arial"/>
        <family val="2"/>
      </rPr>
      <t>(D) Глубина водоема</t>
    </r>
    <r>
      <rPr>
        <sz val="10"/>
        <rFont val="Arial"/>
        <family val="2"/>
      </rPr>
      <t xml:space="preserve"> =</t>
    </r>
  </si>
  <si>
    <t>(E) Средний уклон на набережных (Верт.: Гориз.) = 1 :</t>
  </si>
  <si>
    <t>Площадь материала PONDGard из расчетов введенных сверху =</t>
  </si>
  <si>
    <t>B. Выбор рулона Firestone PondGard</t>
  </si>
  <si>
    <t>Firestone PondGard : калькулятор расчетов</t>
  </si>
  <si>
    <t xml:space="preserve"> mm, колличество =</t>
  </si>
  <si>
    <t>Клеящая лента Quick Seam 3" Splice Tape  =</t>
  </si>
  <si>
    <t>Самовулканизирующаяся клеящая лента для пленки QS FORM FLASH  =</t>
  </si>
  <si>
    <t>м.п</t>
  </si>
  <si>
    <t>м</t>
  </si>
  <si>
    <t xml:space="preserve"> м²</t>
  </si>
  <si>
    <t>шт.</t>
  </si>
  <si>
    <t>Аллюминиевая краевая полоса =</t>
  </si>
  <si>
    <t>E. Упаковка</t>
  </si>
  <si>
    <t>Описание продукта</t>
  </si>
  <si>
    <t>Каучуковая пленка:</t>
  </si>
  <si>
    <t xml:space="preserve"> 
ширина</t>
  </si>
  <si>
    <t xml:space="preserve">  
длина</t>
  </si>
  <si>
    <t xml:space="preserve">
</t>
  </si>
  <si>
    <t>расчет</t>
  </si>
  <si>
    <t xml:space="preserve"> 
Аксессуары</t>
  </si>
  <si>
    <t xml:space="preserve"> 
Инструменты</t>
  </si>
  <si>
    <t>пленка</t>
  </si>
  <si>
    <t>рулон</t>
  </si>
  <si>
    <t>банка</t>
  </si>
  <si>
    <t>туба</t>
  </si>
  <si>
    <t>м.п.</t>
  </si>
  <si>
    <t>гал.</t>
  </si>
  <si>
    <t>Аксессуары</t>
  </si>
  <si>
    <t>D. Детали</t>
  </si>
  <si>
    <t>Firestone Lining Systems - Каталог</t>
  </si>
  <si>
    <t>Подрядчик должен проверить, соответствуют ли расчетные количества фактической ситуации.</t>
  </si>
  <si>
    <t>Номер</t>
  </si>
  <si>
    <t>Дополнительные аксессуары (при необходимости):</t>
  </si>
  <si>
    <t>Краевая аллюминиевая полоса</t>
  </si>
  <si>
    <t>Саморезы для краевой аллюминиевой полосы</t>
  </si>
  <si>
    <t>литров</t>
  </si>
  <si>
    <t>уп.</t>
  </si>
  <si>
    <t>Наименования</t>
  </si>
  <si>
    <t>Единица измерения.</t>
  </si>
  <si>
    <t>*Галло́н — мера объёма, примерно равная 3,8 литрам.</t>
  </si>
  <si>
    <t>рул.</t>
  </si>
  <si>
    <t>Внимание! Для правильной работы необходимо включить макросы. Сверху панель предупреждения, Параметры - Включить это содержимое.</t>
  </si>
  <si>
    <t>туб.</t>
  </si>
  <si>
    <t>бан.</t>
  </si>
  <si>
    <t>Наименование проекта:</t>
  </si>
  <si>
    <t>Ввод-вывод труб, диам.:</t>
  </si>
  <si>
    <t>Наименование</t>
  </si>
  <si>
    <t>Артикул</t>
  </si>
  <si>
    <t>площадь  м²:</t>
  </si>
  <si>
    <t>количество</t>
  </si>
  <si>
    <t>без округления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</si>
</sst>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[Red]\-0\ "/>
    <numFmt numFmtId="173" formatCode="0.0"/>
    <numFmt numFmtId="174" formatCode="#,##0.00_ ;[Red]\-#,##0.00\ "/>
    <numFmt numFmtId="175" formatCode="0.00_ ;[Red]\-0.00\ "/>
    <numFmt numFmtId="176" formatCode="0.0000"/>
    <numFmt numFmtId="177" formatCode="[$-813]dddd\ d\ mmmm\ yyyy"/>
  </numFmts>
  <fonts count="63">
    <font>
      <sz val="10"/>
      <name val="Calibri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name val="Tahoma"/>
      <family val="2"/>
    </font>
    <font>
      <i/>
      <sz val="8"/>
      <name val="Microsoft Sans Serif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b/>
      <sz val="10"/>
      <color indexed="12"/>
      <name val="Arial"/>
      <family val="2"/>
    </font>
    <font>
      <sz val="10"/>
      <color indexed="44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b/>
      <u val="single"/>
      <sz val="10"/>
      <name val="Calibri"/>
      <family val="2"/>
    </font>
    <font>
      <i/>
      <sz val="10"/>
      <name val="Calibri"/>
      <family val="2"/>
    </font>
    <font>
      <b/>
      <sz val="14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12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/>
    </xf>
    <xf numFmtId="0" fontId="0" fillId="33" borderId="0" xfId="0" applyFill="1" applyAlignment="1">
      <alignment wrapText="1"/>
    </xf>
    <xf numFmtId="2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0" fontId="12" fillId="33" borderId="0" xfId="0" applyFont="1" applyFill="1" applyAlignment="1">
      <alignment horizontal="right"/>
    </xf>
    <xf numFmtId="176" fontId="12" fillId="33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23" fillId="34" borderId="0" xfId="0" applyFont="1" applyFill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right"/>
      <protection hidden="1"/>
    </xf>
    <xf numFmtId="1" fontId="3" fillId="34" borderId="0" xfId="0" applyNumberFormat="1" applyFont="1" applyFill="1" applyAlignment="1" applyProtection="1">
      <alignment/>
      <protection hidden="1"/>
    </xf>
    <xf numFmtId="1" fontId="6" fillId="34" borderId="14" xfId="0" applyNumberFormat="1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173" fontId="6" fillId="34" borderId="0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/>
      <protection hidden="1" locked="0"/>
    </xf>
    <xf numFmtId="0" fontId="3" fillId="34" borderId="0" xfId="0" applyFont="1" applyFill="1" applyAlignment="1" applyProtection="1">
      <alignment/>
      <protection hidden="1"/>
    </xf>
    <xf numFmtId="4" fontId="6" fillId="34" borderId="0" xfId="0" applyNumberFormat="1" applyFont="1" applyFill="1" applyBorder="1" applyAlignment="1" applyProtection="1">
      <alignment/>
      <protection hidden="1"/>
    </xf>
    <xf numFmtId="4" fontId="3" fillId="34" borderId="0" xfId="0" applyNumberFormat="1" applyFont="1" applyFill="1" applyAlignment="1" applyProtection="1">
      <alignment/>
      <protection hidden="1"/>
    </xf>
    <xf numFmtId="2" fontId="3" fillId="34" borderId="0" xfId="0" applyNumberFormat="1" applyFont="1" applyFill="1" applyAlignment="1" applyProtection="1">
      <alignment/>
      <protection hidden="1"/>
    </xf>
    <xf numFmtId="0" fontId="7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2" fontId="16" fillId="34" borderId="0" xfId="0" applyNumberFormat="1" applyFont="1" applyFill="1" applyAlignment="1" applyProtection="1">
      <alignment/>
      <protection hidden="1"/>
    </xf>
    <xf numFmtId="0" fontId="16" fillId="34" borderId="0" xfId="0" applyFont="1" applyFill="1" applyAlignment="1" applyProtection="1">
      <alignment/>
      <protection hidden="1"/>
    </xf>
    <xf numFmtId="173" fontId="16" fillId="34" borderId="0" xfId="0" applyNumberFormat="1" applyFont="1" applyFill="1" applyAlignment="1" applyProtection="1">
      <alignment horizontal="center"/>
      <protection hidden="1"/>
    </xf>
    <xf numFmtId="1" fontId="2" fillId="34" borderId="0" xfId="0" applyNumberFormat="1" applyFont="1" applyFill="1" applyAlignment="1" applyProtection="1">
      <alignment/>
      <protection hidden="1"/>
    </xf>
    <xf numFmtId="2" fontId="2" fillId="34" borderId="0" xfId="0" applyNumberFormat="1" applyFont="1" applyFill="1" applyAlignment="1" applyProtection="1">
      <alignment/>
      <protection hidden="1"/>
    </xf>
    <xf numFmtId="4" fontId="2" fillId="34" borderId="0" xfId="0" applyNumberFormat="1" applyFont="1" applyFill="1" applyAlignment="1" applyProtection="1">
      <alignment/>
      <protection hidden="1"/>
    </xf>
    <xf numFmtId="0" fontId="7" fillId="34" borderId="0" xfId="0" applyFont="1" applyFill="1" applyAlignment="1" applyProtection="1">
      <alignment horizontal="left" vertical="center"/>
      <protection hidden="1"/>
    </xf>
    <xf numFmtId="0" fontId="6" fillId="34" borderId="0" xfId="0" applyFont="1" applyFill="1" applyAlignment="1" applyProtection="1">
      <alignment horizontal="right"/>
      <protection hidden="1"/>
    </xf>
    <xf numFmtId="2" fontId="6" fillId="34" borderId="0" xfId="0" applyNumberFormat="1" applyFont="1" applyFill="1" applyAlignment="1" applyProtection="1">
      <alignment/>
      <protection hidden="1"/>
    </xf>
    <xf numFmtId="173" fontId="6" fillId="34" borderId="0" xfId="0" applyNumberFormat="1" applyFont="1" applyFill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/>
      <protection hidden="1"/>
    </xf>
    <xf numFmtId="1" fontId="6" fillId="34" borderId="0" xfId="0" applyNumberFormat="1" applyFont="1" applyFill="1" applyAlignment="1" applyProtection="1">
      <alignment/>
      <protection hidden="1"/>
    </xf>
    <xf numFmtId="1" fontId="6" fillId="34" borderId="0" xfId="0" applyNumberFormat="1" applyFont="1" applyFill="1" applyAlignment="1" applyProtection="1">
      <alignment/>
      <protection hidden="1"/>
    </xf>
    <xf numFmtId="4" fontId="6" fillId="34" borderId="0" xfId="0" applyNumberFormat="1" applyFont="1" applyFill="1" applyAlignment="1" applyProtection="1">
      <alignment/>
      <protection hidden="1"/>
    </xf>
    <xf numFmtId="1" fontId="6" fillId="34" borderId="0" xfId="0" applyNumberFormat="1" applyFont="1" applyFill="1" applyAlignment="1" applyProtection="1">
      <alignment horizontal="center"/>
      <protection hidden="1"/>
    </xf>
    <xf numFmtId="0" fontId="6" fillId="34" borderId="0" xfId="0" applyFont="1" applyFill="1" applyAlignment="1" applyProtection="1">
      <alignment horizontal="center"/>
      <protection hidden="1"/>
    </xf>
    <xf numFmtId="4" fontId="6" fillId="34" borderId="0" xfId="0" applyNumberFormat="1" applyFont="1" applyFill="1" applyAlignment="1" applyProtection="1">
      <alignment wrapText="1"/>
      <protection hidden="1"/>
    </xf>
    <xf numFmtId="4" fontId="15" fillId="34" borderId="0" xfId="0" applyNumberFormat="1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 wrapText="1"/>
      <protection hidden="1"/>
    </xf>
    <xf numFmtId="0" fontId="7" fillId="34" borderId="0" xfId="0" applyFont="1" applyFill="1" applyAlignment="1" applyProtection="1">
      <alignment horizontal="left"/>
      <protection hidden="1"/>
    </xf>
    <xf numFmtId="2" fontId="6" fillId="34" borderId="0" xfId="0" applyNumberFormat="1" applyFont="1" applyFill="1" applyBorder="1" applyAlignment="1" applyProtection="1">
      <alignment/>
      <protection hidden="1"/>
    </xf>
    <xf numFmtId="0" fontId="3" fillId="34" borderId="0" xfId="0" applyFont="1" applyFill="1" applyAlignment="1" applyProtection="1">
      <alignment horizontal="left"/>
      <protection hidden="1"/>
    </xf>
    <xf numFmtId="2" fontId="6" fillId="34" borderId="14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Fill="1" applyAlignment="1" applyProtection="1">
      <alignment/>
      <protection hidden="1" locked="0"/>
    </xf>
    <xf numFmtId="2" fontId="6" fillId="34" borderId="0" xfId="0" applyNumberFormat="1" applyFont="1" applyFill="1" applyBorder="1" applyAlignment="1" applyProtection="1">
      <alignment vertical="center"/>
      <protection hidden="1"/>
    </xf>
    <xf numFmtId="0" fontId="11" fillId="35" borderId="0" xfId="0" applyFont="1" applyFill="1" applyAlignment="1" applyProtection="1">
      <alignment horizontal="center" vertical="center"/>
      <protection hidden="1"/>
    </xf>
    <xf numFmtId="0" fontId="18" fillId="35" borderId="0" xfId="0" applyFont="1" applyFill="1" applyAlignment="1" applyProtection="1">
      <alignment vertical="center"/>
      <protection hidden="1"/>
    </xf>
    <xf numFmtId="2" fontId="18" fillId="35" borderId="0" xfId="0" applyNumberFormat="1" applyFont="1" applyFill="1" applyAlignment="1" applyProtection="1">
      <alignment horizontal="center" vertical="center"/>
      <protection hidden="1"/>
    </xf>
    <xf numFmtId="1" fontId="11" fillId="35" borderId="0" xfId="0" applyNumberFormat="1" applyFont="1" applyFill="1" applyAlignment="1" applyProtection="1">
      <alignment vertical="center"/>
      <protection hidden="1"/>
    </xf>
    <xf numFmtId="0" fontId="11" fillId="35" borderId="0" xfId="0" applyFont="1" applyFill="1" applyAlignment="1" applyProtection="1">
      <alignment vertical="center"/>
      <protection hidden="1"/>
    </xf>
    <xf numFmtId="2" fontId="11" fillId="35" borderId="0" xfId="0" applyNumberFormat="1" applyFont="1" applyFill="1" applyAlignment="1" applyProtection="1">
      <alignment vertical="center"/>
      <protection hidden="1"/>
    </xf>
    <xf numFmtId="4" fontId="11" fillId="35" borderId="0" xfId="0" applyNumberFormat="1" applyFont="1" applyFill="1" applyAlignment="1" applyProtection="1">
      <alignment vertical="center"/>
      <protection hidden="1"/>
    </xf>
    <xf numFmtId="0" fontId="3" fillId="34" borderId="0" xfId="0" applyFont="1" applyFill="1" applyAlignment="1" applyProtection="1">
      <alignment horizontal="right"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1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2" fontId="17" fillId="34" borderId="0" xfId="0" applyNumberFormat="1" applyFont="1" applyFill="1" applyAlignment="1" applyProtection="1">
      <alignment/>
      <protection hidden="1"/>
    </xf>
    <xf numFmtId="0" fontId="17" fillId="34" borderId="0" xfId="0" applyFont="1" applyFill="1" applyAlignment="1" applyProtection="1">
      <alignment/>
      <protection hidden="1"/>
    </xf>
    <xf numFmtId="173" fontId="17" fillId="34" borderId="0" xfId="0" applyNumberFormat="1" applyFont="1" applyFill="1" applyAlignment="1" applyProtection="1">
      <alignment horizontal="center"/>
      <protection hidden="1"/>
    </xf>
    <xf numFmtId="1" fontId="5" fillId="34" borderId="0" xfId="0" applyNumberFormat="1" applyFont="1" applyFill="1" applyAlignment="1" applyProtection="1">
      <alignment/>
      <protection hidden="1"/>
    </xf>
    <xf numFmtId="2" fontId="5" fillId="34" borderId="0" xfId="0" applyNumberFormat="1" applyFont="1" applyFill="1" applyAlignment="1" applyProtection="1">
      <alignment/>
      <protection hidden="1"/>
    </xf>
    <xf numFmtId="4" fontId="5" fillId="34" borderId="0" xfId="0" applyNumberFormat="1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0" fontId="6" fillId="34" borderId="10" xfId="0" applyFont="1" applyFill="1" applyBorder="1" applyAlignment="1" applyProtection="1">
      <alignment horizontal="right" vertical="center"/>
      <protection hidden="1"/>
    </xf>
    <xf numFmtId="0" fontId="24" fillId="34" borderId="15" xfId="0" applyFont="1" applyFill="1" applyBorder="1" applyAlignment="1" applyProtection="1">
      <alignment horizontal="left" vertical="center"/>
      <protection hidden="1" locked="0"/>
    </xf>
    <xf numFmtId="0" fontId="3" fillId="34" borderId="15" xfId="0" applyFont="1" applyFill="1" applyBorder="1" applyAlignment="1" applyProtection="1">
      <alignment horizontal="left" vertical="center"/>
      <protection hidden="1"/>
    </xf>
    <xf numFmtId="2" fontId="6" fillId="34" borderId="15" xfId="0" applyNumberFormat="1" applyFont="1" applyFill="1" applyBorder="1" applyAlignment="1" applyProtection="1">
      <alignment vertical="center"/>
      <protection hidden="1"/>
    </xf>
    <xf numFmtId="0" fontId="6" fillId="34" borderId="15" xfId="0" applyFont="1" applyFill="1" applyBorder="1" applyAlignment="1" applyProtection="1">
      <alignment vertical="center"/>
      <protection hidden="1"/>
    </xf>
    <xf numFmtId="173" fontId="6" fillId="34" borderId="15" xfId="0" applyNumberFormat="1" applyFont="1" applyFill="1" applyBorder="1" applyAlignment="1" applyProtection="1">
      <alignment horizontal="center" vertical="center"/>
      <protection hidden="1"/>
    </xf>
    <xf numFmtId="1" fontId="3" fillId="34" borderId="15" xfId="0" applyNumberFormat="1" applyFont="1" applyFill="1" applyBorder="1" applyAlignment="1" applyProtection="1">
      <alignment vertical="center"/>
      <protection hidden="1"/>
    </xf>
    <xf numFmtId="0" fontId="3" fillId="34" borderId="15" xfId="0" applyFont="1" applyFill="1" applyBorder="1" applyAlignment="1" applyProtection="1">
      <alignment vertical="center"/>
      <protection hidden="1"/>
    </xf>
    <xf numFmtId="2" fontId="3" fillId="34" borderId="15" xfId="0" applyNumberFormat="1" applyFont="1" applyFill="1" applyBorder="1" applyAlignment="1" applyProtection="1">
      <alignment vertical="center"/>
      <protection hidden="1"/>
    </xf>
    <xf numFmtId="0" fontId="7" fillId="34" borderId="0" xfId="0" applyFont="1" applyFill="1" applyAlignment="1" applyProtection="1">
      <alignment vertical="center"/>
      <protection hidden="1"/>
    </xf>
    <xf numFmtId="0" fontId="6" fillId="34" borderId="12" xfId="0" applyFont="1" applyFill="1" applyBorder="1" applyAlignment="1" applyProtection="1">
      <alignment horizontal="right" vertical="center"/>
      <protection hidden="1"/>
    </xf>
    <xf numFmtId="0" fontId="6" fillId="34" borderId="0" xfId="0" applyFont="1" applyFill="1" applyBorder="1" applyAlignment="1" applyProtection="1">
      <alignment horizontal="left" vertical="center"/>
      <protection hidden="1" locked="0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173" fontId="6" fillId="34" borderId="0" xfId="0" applyNumberFormat="1" applyFont="1" applyFill="1" applyBorder="1" applyAlignment="1" applyProtection="1">
      <alignment horizontal="center" vertical="center"/>
      <protection hidden="1"/>
    </xf>
    <xf numFmtId="1" fontId="3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2" fontId="3" fillId="34" borderId="0" xfId="0" applyNumberFormat="1" applyFont="1" applyFill="1" applyBorder="1" applyAlignment="1" applyProtection="1">
      <alignment vertical="center"/>
      <protection hidden="1"/>
    </xf>
    <xf numFmtId="4" fontId="3" fillId="34" borderId="0" xfId="0" applyNumberFormat="1" applyFont="1" applyFill="1" applyBorder="1" applyAlignment="1" applyProtection="1">
      <alignment vertical="center"/>
      <protection hidden="1"/>
    </xf>
    <xf numFmtId="14" fontId="6" fillId="34" borderId="0" xfId="0" applyNumberFormat="1" applyFont="1" applyFill="1" applyBorder="1" applyAlignment="1" applyProtection="1">
      <alignment horizontal="left" vertical="center"/>
      <protection hidden="1" locked="0"/>
    </xf>
    <xf numFmtId="10" fontId="6" fillId="34" borderId="0" xfId="0" applyNumberFormat="1" applyFont="1" applyFill="1" applyBorder="1" applyAlignment="1" applyProtection="1">
      <alignment horizontal="left" vertical="center"/>
      <protection hidden="1" locked="0"/>
    </xf>
    <xf numFmtId="0" fontId="6" fillId="34" borderId="16" xfId="0" applyFont="1" applyFill="1" applyBorder="1" applyAlignment="1" applyProtection="1">
      <alignment horizontal="right" vertical="center"/>
      <protection hidden="1"/>
    </xf>
    <xf numFmtId="10" fontId="6" fillId="34" borderId="17" xfId="0" applyNumberFormat="1" applyFont="1" applyFill="1" applyBorder="1" applyAlignment="1" applyProtection="1">
      <alignment horizontal="left" vertical="center"/>
      <protection hidden="1" locked="0"/>
    </xf>
    <xf numFmtId="0" fontId="3" fillId="34" borderId="17" xfId="0" applyFont="1" applyFill="1" applyBorder="1" applyAlignment="1" applyProtection="1">
      <alignment vertical="center"/>
      <protection hidden="1"/>
    </xf>
    <xf numFmtId="2" fontId="6" fillId="34" borderId="17" xfId="0" applyNumberFormat="1" applyFont="1" applyFill="1" applyBorder="1" applyAlignment="1" applyProtection="1">
      <alignment vertical="center"/>
      <protection hidden="1"/>
    </xf>
    <xf numFmtId="0" fontId="6" fillId="34" borderId="17" xfId="0" applyFont="1" applyFill="1" applyBorder="1" applyAlignment="1" applyProtection="1">
      <alignment vertical="center"/>
      <protection hidden="1"/>
    </xf>
    <xf numFmtId="173" fontId="6" fillId="34" borderId="17" xfId="0" applyNumberFormat="1" applyFont="1" applyFill="1" applyBorder="1" applyAlignment="1" applyProtection="1">
      <alignment horizontal="center" vertical="center"/>
      <protection hidden="1"/>
    </xf>
    <xf numFmtId="1" fontId="3" fillId="34" borderId="17" xfId="0" applyNumberFormat="1" applyFont="1" applyFill="1" applyBorder="1" applyAlignment="1" applyProtection="1">
      <alignment vertical="center"/>
      <protection hidden="1"/>
    </xf>
    <xf numFmtId="2" fontId="3" fillId="34" borderId="17" xfId="0" applyNumberFormat="1" applyFont="1" applyFill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6" fillId="34" borderId="0" xfId="0" applyFont="1" applyFill="1" applyAlignment="1" applyProtection="1">
      <alignment horizontal="right" vertical="center"/>
      <protection hidden="1"/>
    </xf>
    <xf numFmtId="0" fontId="14" fillId="34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 locked="0"/>
    </xf>
    <xf numFmtId="14" fontId="3" fillId="0" borderId="0" xfId="0" applyNumberFormat="1" applyFont="1" applyFill="1" applyBorder="1" applyAlignment="1" applyProtection="1">
      <alignment horizontal="left" vertical="center"/>
      <protection hidden="1" locked="0"/>
    </xf>
    <xf numFmtId="0" fontId="6" fillId="34" borderId="0" xfId="0" applyFont="1" applyFill="1" applyAlignment="1" applyProtection="1">
      <alignment horizontal="left" vertical="center"/>
      <protection hidden="1"/>
    </xf>
    <xf numFmtId="0" fontId="0" fillId="34" borderId="0" xfId="0" applyFill="1" applyAlignment="1" applyProtection="1">
      <alignment/>
      <protection hidden="1"/>
    </xf>
    <xf numFmtId="0" fontId="14" fillId="34" borderId="0" xfId="0" applyFont="1" applyFill="1" applyAlignment="1" applyProtection="1">
      <alignment/>
      <protection hidden="1"/>
    </xf>
    <xf numFmtId="0" fontId="5" fillId="34" borderId="0" xfId="0" applyFont="1" applyFill="1" applyAlignment="1" applyProtection="1">
      <alignment horizontal="center"/>
      <protection hidden="1"/>
    </xf>
    <xf numFmtId="0" fontId="13" fillId="34" borderId="0" xfId="0" applyFont="1" applyFill="1" applyAlignment="1" applyProtection="1">
      <alignment horizontal="right" vertical="center"/>
      <protection hidden="1"/>
    </xf>
    <xf numFmtId="0" fontId="6" fillId="34" borderId="0" xfId="0" applyFont="1" applyFill="1" applyAlignment="1" applyProtection="1">
      <alignment vertical="center"/>
      <protection hidden="1"/>
    </xf>
    <xf numFmtId="0" fontId="25" fillId="34" borderId="0" xfId="0" applyFont="1" applyFill="1" applyAlignment="1" applyProtection="1">
      <alignment vertical="center"/>
      <protection hidden="1"/>
    </xf>
    <xf numFmtId="0" fontId="7" fillId="34" borderId="0" xfId="0" applyFont="1" applyFill="1" applyAlignment="1" applyProtection="1">
      <alignment horizontal="right" vertical="center"/>
      <protection hidden="1"/>
    </xf>
    <xf numFmtId="1" fontId="6" fillId="34" borderId="0" xfId="0" applyNumberFormat="1" applyFont="1" applyFill="1" applyAlignment="1" applyProtection="1">
      <alignment vertical="center"/>
      <protection hidden="1"/>
    </xf>
    <xf numFmtId="0" fontId="22" fillId="34" borderId="0" xfId="0" applyFont="1" applyFill="1" applyAlignment="1" applyProtection="1">
      <alignment horizontal="left" vertical="center"/>
      <protection hidden="1"/>
    </xf>
    <xf numFmtId="14" fontId="3" fillId="34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/>
      <protection hidden="1" locked="0"/>
    </xf>
    <xf numFmtId="0" fontId="3" fillId="0" borderId="0" xfId="0" applyFont="1" applyFill="1" applyBorder="1" applyAlignment="1" applyProtection="1">
      <alignment/>
      <protection hidden="1" locked="0"/>
    </xf>
    <xf numFmtId="0" fontId="3" fillId="34" borderId="0" xfId="0" applyFont="1" applyFill="1" applyAlignment="1" applyProtection="1">
      <alignment horizontal="center"/>
      <protection hidden="1"/>
    </xf>
    <xf numFmtId="0" fontId="4" fillId="34" borderId="0" xfId="0" applyFont="1" applyFill="1" applyAlignment="1" applyProtection="1">
      <alignment horizontal="right"/>
      <protection hidden="1"/>
    </xf>
    <xf numFmtId="0" fontId="6" fillId="34" borderId="0" xfId="0" applyFont="1" applyFill="1" applyAlignment="1" applyProtection="1">
      <alignment horizontal="left"/>
      <protection hidden="1"/>
    </xf>
    <xf numFmtId="0" fontId="21" fillId="34" borderId="0" xfId="0" applyFont="1" applyFill="1" applyAlignment="1" applyProtection="1">
      <alignment horizontal="left"/>
      <protection hidden="1"/>
    </xf>
    <xf numFmtId="0" fontId="6" fillId="34" borderId="0" xfId="0" applyFont="1" applyFill="1" applyAlignment="1" applyProtection="1">
      <alignment horizontal="right" vertical="center" wrapText="1"/>
      <protection hidden="1"/>
    </xf>
    <xf numFmtId="0" fontId="7" fillId="34" borderId="0" xfId="0" applyFont="1" applyFill="1" applyAlignment="1" applyProtection="1">
      <alignment horizontal="right" vertical="center"/>
      <protection hidden="1"/>
    </xf>
    <xf numFmtId="173" fontId="6" fillId="34" borderId="0" xfId="0" applyNumberFormat="1" applyFont="1" applyFill="1" applyAlignment="1" applyProtection="1">
      <alignment horizontal="center" wrapText="1"/>
      <protection hidden="1"/>
    </xf>
    <xf numFmtId="0" fontId="7" fillId="34" borderId="0" xfId="0" applyFont="1" applyFill="1" applyAlignment="1" applyProtection="1">
      <alignment wrapText="1"/>
      <protection hidden="1"/>
    </xf>
    <xf numFmtId="4" fontId="15" fillId="34" borderId="0" xfId="0" applyNumberFormat="1" applyFont="1" applyFill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vertical="center"/>
      <protection hidden="1"/>
    </xf>
    <xf numFmtId="0" fontId="6" fillId="34" borderId="13" xfId="0" applyFont="1" applyFill="1" applyBorder="1" applyAlignment="1" applyProtection="1">
      <alignment vertical="center"/>
      <protection hidden="1"/>
    </xf>
    <xf numFmtId="0" fontId="6" fillId="34" borderId="18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/>
      <protection hidden="1"/>
    </xf>
    <xf numFmtId="1" fontId="3" fillId="34" borderId="0" xfId="0" applyNumberFormat="1" applyFont="1" applyFill="1" applyBorder="1" applyAlignment="1" applyProtection="1">
      <alignment/>
      <protection hidden="1"/>
    </xf>
    <xf numFmtId="2" fontId="3" fillId="34" borderId="0" xfId="0" applyNumberFormat="1" applyFont="1" applyFill="1" applyBorder="1" applyAlignment="1" applyProtection="1">
      <alignment/>
      <protection hidden="1"/>
    </xf>
    <xf numFmtId="4" fontId="3" fillId="34" borderId="0" xfId="0" applyNumberFormat="1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 vertical="center" wrapText="1"/>
      <protection hidden="1"/>
    </xf>
    <xf numFmtId="0" fontId="26" fillId="34" borderId="0" xfId="0" applyFont="1" applyFill="1" applyAlignment="1" applyProtection="1">
      <alignment horizontal="center"/>
      <protection hidden="1"/>
    </xf>
    <xf numFmtId="0" fontId="26" fillId="34" borderId="0" xfId="0" applyFont="1" applyFill="1" applyAlignment="1" applyProtection="1">
      <alignment/>
      <protection hidden="1"/>
    </xf>
    <xf numFmtId="0" fontId="26" fillId="34" borderId="0" xfId="0" applyFont="1" applyFill="1" applyAlignment="1" applyProtection="1">
      <alignment horizontal="right"/>
      <protection hidden="1"/>
    </xf>
    <xf numFmtId="1" fontId="6" fillId="34" borderId="14" xfId="0" applyNumberFormat="1" applyFont="1" applyFill="1" applyBorder="1" applyAlignment="1" applyProtection="1">
      <alignment horizontal="right" vertical="center"/>
      <protection hidden="1"/>
    </xf>
    <xf numFmtId="1" fontId="6" fillId="34" borderId="0" xfId="0" applyNumberFormat="1" applyFont="1" applyFill="1" applyBorder="1" applyAlignment="1" applyProtection="1">
      <alignment horizontal="right" vertical="center"/>
      <protection hidden="1"/>
    </xf>
    <xf numFmtId="2" fontId="6" fillId="34" borderId="0" xfId="0" applyNumberFormat="1" applyFont="1" applyFill="1" applyBorder="1" applyAlignment="1" applyProtection="1">
      <alignment horizontal="right" vertical="center"/>
      <protection hidden="1"/>
    </xf>
    <xf numFmtId="2" fontId="6" fillId="34" borderId="14" xfId="0" applyNumberFormat="1" applyFont="1" applyFill="1" applyBorder="1" applyAlignment="1" applyProtection="1">
      <alignment horizontal="right" vertical="center"/>
      <protection hidden="1"/>
    </xf>
    <xf numFmtId="4" fontId="6" fillId="34" borderId="0" xfId="0" applyNumberFormat="1" applyFont="1" applyFill="1" applyBorder="1" applyAlignment="1" applyProtection="1">
      <alignment vertical="center"/>
      <protection hidden="1"/>
    </xf>
    <xf numFmtId="2" fontId="3" fillId="34" borderId="0" xfId="0" applyNumberFormat="1" applyFont="1" applyFill="1" applyAlignment="1" applyProtection="1">
      <alignment vertical="center"/>
      <protection hidden="1"/>
    </xf>
    <xf numFmtId="1" fontId="3" fillId="0" borderId="0" xfId="0" applyNumberFormat="1" applyFont="1" applyFill="1" applyBorder="1" applyAlignment="1" applyProtection="1">
      <alignment vertical="center"/>
      <protection hidden="1" locked="0"/>
    </xf>
    <xf numFmtId="1" fontId="3" fillId="34" borderId="0" xfId="0" applyNumberFormat="1" applyFont="1" applyFill="1" applyAlignment="1" applyProtection="1">
      <alignment vertical="center"/>
      <protection hidden="1"/>
    </xf>
    <xf numFmtId="1" fontId="3" fillId="0" borderId="0" xfId="0" applyNumberFormat="1" applyFont="1" applyFill="1" applyAlignment="1" applyProtection="1">
      <alignment vertical="center"/>
      <protection hidden="1" locked="0"/>
    </xf>
    <xf numFmtId="0" fontId="15" fillId="34" borderId="0" xfId="0" applyFont="1" applyFill="1" applyAlignment="1" applyProtection="1">
      <alignment horizontal="right" wrapText="1"/>
      <protection hidden="1"/>
    </xf>
    <xf numFmtId="1" fontId="15" fillId="34" borderId="0" xfId="0" applyNumberFormat="1" applyFont="1" applyFill="1" applyAlignment="1" applyProtection="1">
      <alignment wrapText="1"/>
      <protection hidden="1"/>
    </xf>
    <xf numFmtId="1" fontId="15" fillId="34" borderId="0" xfId="0" applyNumberFormat="1" applyFont="1" applyFill="1" applyAlignment="1" applyProtection="1">
      <alignment horizontal="center"/>
      <protection hidden="1"/>
    </xf>
    <xf numFmtId="0" fontId="15" fillId="34" borderId="0" xfId="0" applyFont="1" applyFill="1" applyAlignment="1" applyProtection="1">
      <alignment horizontal="right"/>
      <protection hidden="1"/>
    </xf>
    <xf numFmtId="0" fontId="12" fillId="33" borderId="16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0" xfId="0" applyFill="1" applyAlignment="1">
      <alignment vertical="center"/>
    </xf>
    <xf numFmtId="0" fontId="7" fillId="0" borderId="0" xfId="0" applyFont="1" applyFill="1" applyBorder="1" applyAlignment="1" applyProtection="1">
      <alignment vertical="center"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vertical="center"/>
      <protection hidden="1" locked="0"/>
    </xf>
    <xf numFmtId="0" fontId="3" fillId="34" borderId="0" xfId="0" applyFont="1" applyFill="1" applyBorder="1" applyAlignment="1" applyProtection="1">
      <alignment vertical="center"/>
      <protection hidden="1"/>
    </xf>
    <xf numFmtId="2" fontId="62" fillId="34" borderId="0" xfId="0" applyNumberFormat="1" applyFont="1" applyFill="1" applyAlignment="1" applyProtection="1">
      <alignment horizontal="center" vertical="center" wrapText="1"/>
      <protection hidden="1"/>
    </xf>
    <xf numFmtId="0" fontId="62" fillId="34" borderId="0" xfId="0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27</xdr:row>
      <xdr:rowOff>9525</xdr:rowOff>
    </xdr:from>
    <xdr:to>
      <xdr:col>7</xdr:col>
      <xdr:colOff>762000</xdr:colOff>
      <xdr:row>38</xdr:row>
      <xdr:rowOff>57150</xdr:rowOff>
    </xdr:to>
    <xdr:pic>
      <xdr:nvPicPr>
        <xdr:cNvPr id="1" name="Рисунок 2" descr="Безимени-1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657600"/>
          <a:ext cx="48387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11"/>
  <sheetViews>
    <sheetView zoomScalePageLayoutView="0" workbookViewId="0" topLeftCell="A10">
      <selection activeCell="C12" sqref="C12"/>
    </sheetView>
  </sheetViews>
  <sheetFormatPr defaultColWidth="9.140625" defaultRowHeight="12.75"/>
  <cols>
    <col min="2" max="2" width="31.00390625" style="0" bestFit="1" customWidth="1"/>
    <col min="6" max="6" width="9.8515625" style="0" bestFit="1" customWidth="1"/>
    <col min="7" max="7" width="24.140625" style="0" customWidth="1"/>
    <col min="8" max="8" width="9.8515625" style="0" bestFit="1" customWidth="1"/>
    <col min="9" max="9" width="24.140625" style="0" customWidth="1"/>
  </cols>
  <sheetData>
    <row r="1" ht="12.75">
      <c r="A1" s="2" t="s">
        <v>57</v>
      </c>
    </row>
    <row r="4" spans="1:2" s="5" customFormat="1" ht="12.75">
      <c r="A4" s="3" t="s">
        <v>58</v>
      </c>
      <c r="B4" s="4" t="s">
        <v>59</v>
      </c>
    </row>
    <row r="5" spans="2:3" s="5" customFormat="1" ht="12.75">
      <c r="B5" s="4" t="s">
        <v>176</v>
      </c>
      <c r="C5" s="5">
        <v>1</v>
      </c>
    </row>
    <row r="6" spans="1:2" s="5" customFormat="1" ht="12.75">
      <c r="A6" s="5">
        <v>1</v>
      </c>
      <c r="B6" s="5" t="s">
        <v>43</v>
      </c>
    </row>
    <row r="7" spans="1:2" s="5" customFormat="1" ht="12.75">
      <c r="A7" s="5">
        <v>2</v>
      </c>
      <c r="B7" s="5" t="s">
        <v>44</v>
      </c>
    </row>
    <row r="8" spans="1:2" s="5" customFormat="1" ht="12.75">
      <c r="A8" s="5">
        <v>3</v>
      </c>
      <c r="B8" s="5" t="s">
        <v>45</v>
      </c>
    </row>
    <row r="9" spans="1:2" s="5" customFormat="1" ht="12.75">
      <c r="A9" s="5">
        <v>4</v>
      </c>
      <c r="B9" s="5" t="s">
        <v>46</v>
      </c>
    </row>
    <row r="11" s="5" customFormat="1" ht="12.75">
      <c r="A11" s="3" t="s">
        <v>60</v>
      </c>
    </row>
    <row r="12" spans="2:3" s="5" customFormat="1" ht="12.75">
      <c r="B12" s="4" t="s">
        <v>178</v>
      </c>
      <c r="C12" s="5">
        <v>1</v>
      </c>
    </row>
    <row r="13" spans="1:2" s="5" customFormat="1" ht="12.75">
      <c r="A13" s="5">
        <v>1</v>
      </c>
      <c r="B13" s="5" t="s">
        <v>188</v>
      </c>
    </row>
    <row r="14" spans="1:2" s="5" customFormat="1" ht="12.75">
      <c r="A14" s="5">
        <v>2</v>
      </c>
      <c r="B14" s="5" t="s">
        <v>189</v>
      </c>
    </row>
    <row r="15" spans="1:2" s="5" customFormat="1" ht="12.75">
      <c r="A15" s="5">
        <v>3</v>
      </c>
      <c r="B15" s="5" t="s">
        <v>190</v>
      </c>
    </row>
    <row r="17" s="5" customFormat="1" ht="12.75">
      <c r="A17" s="3" t="s">
        <v>26</v>
      </c>
    </row>
    <row r="18" spans="2:3" s="5" customFormat="1" ht="12.75">
      <c r="B18" s="4" t="s">
        <v>177</v>
      </c>
      <c r="C18" s="5">
        <v>1</v>
      </c>
    </row>
    <row r="19" spans="1:2" s="5" customFormat="1" ht="12.75">
      <c r="A19" s="5">
        <v>1</v>
      </c>
      <c r="B19" s="5" t="s">
        <v>27</v>
      </c>
    </row>
    <row r="20" spans="1:2" s="5" customFormat="1" ht="12.75">
      <c r="A20" s="5">
        <v>2</v>
      </c>
      <c r="B20" s="5" t="s">
        <v>28</v>
      </c>
    </row>
    <row r="22" s="5" customFormat="1" ht="12.75">
      <c r="A22" s="3" t="s">
        <v>122</v>
      </c>
    </row>
    <row r="23" spans="1:3" s="5" customFormat="1" ht="12.75">
      <c r="A23" s="3"/>
      <c r="B23" s="4" t="s">
        <v>179</v>
      </c>
      <c r="C23" s="5">
        <v>8</v>
      </c>
    </row>
    <row r="24" spans="1:2" s="5" customFormat="1" ht="12.75">
      <c r="A24" s="3"/>
      <c r="B24" s="5" t="s">
        <v>123</v>
      </c>
    </row>
    <row r="25" spans="1:2" s="5" customFormat="1" ht="12.75">
      <c r="A25" s="3"/>
      <c r="B25" s="5" t="s">
        <v>124</v>
      </c>
    </row>
    <row r="26" spans="1:2" s="5" customFormat="1" ht="12.75">
      <c r="A26" s="3"/>
      <c r="B26" s="5" t="s">
        <v>125</v>
      </c>
    </row>
    <row r="27" spans="1:2" s="5" customFormat="1" ht="12.75">
      <c r="A27" s="3"/>
      <c r="B27" s="5" t="s">
        <v>128</v>
      </c>
    </row>
    <row r="28" spans="1:2" s="5" customFormat="1" ht="12.75">
      <c r="A28" s="3"/>
      <c r="B28" s="5" t="s">
        <v>126</v>
      </c>
    </row>
    <row r="29" spans="1:2" s="5" customFormat="1" ht="12.75">
      <c r="A29" s="3"/>
      <c r="B29" s="5" t="s">
        <v>127</v>
      </c>
    </row>
    <row r="30" spans="1:2" s="5" customFormat="1" ht="12.75">
      <c r="A30" s="3"/>
      <c r="B30" s="5" t="s">
        <v>129</v>
      </c>
    </row>
    <row r="31" spans="1:2" s="5" customFormat="1" ht="12.75">
      <c r="A31" s="3"/>
      <c r="B31" s="5" t="s">
        <v>130</v>
      </c>
    </row>
    <row r="33" s="5" customFormat="1" ht="13.5" thickBot="1">
      <c r="A33" s="3" t="s">
        <v>61</v>
      </c>
    </row>
    <row r="34" spans="1:9" s="5" customFormat="1" ht="12.75">
      <c r="A34" s="3"/>
      <c r="F34" s="11" t="s">
        <v>62</v>
      </c>
      <c r="G34" s="12"/>
      <c r="H34" s="11" t="s">
        <v>63</v>
      </c>
      <c r="I34" s="12"/>
    </row>
    <row r="35" spans="6:9" s="5" customFormat="1" ht="12.75">
      <c r="F35" s="13"/>
      <c r="G35" s="14"/>
      <c r="H35" s="13"/>
      <c r="I35" s="14"/>
    </row>
    <row r="36" spans="2:9" s="5" customFormat="1" ht="25.5">
      <c r="B36" s="5" t="s">
        <v>31</v>
      </c>
      <c r="F36" s="15" t="s">
        <v>35</v>
      </c>
      <c r="G36" s="16" t="s">
        <v>33</v>
      </c>
      <c r="H36" s="15" t="s">
        <v>36</v>
      </c>
      <c r="I36" s="16" t="s">
        <v>34</v>
      </c>
    </row>
    <row r="37" spans="2:9" s="5" customFormat="1" ht="12.75">
      <c r="B37" s="5" t="s">
        <v>32</v>
      </c>
      <c r="C37" s="8" t="s">
        <v>4</v>
      </c>
      <c r="D37" s="5" t="b">
        <f>IF($C$23=1,'data&amp;calc'!$B$60)</f>
        <v>0</v>
      </c>
      <c r="E37" s="5" t="s">
        <v>0</v>
      </c>
      <c r="F37" s="13">
        <f>D37/(2.28*30.5*2)</f>
        <v>0</v>
      </c>
      <c r="G37" s="14">
        <f>(2.28+30.5)*2*F37</f>
        <v>0</v>
      </c>
      <c r="H37" s="13">
        <f>D37/(2.28*61*2)</f>
        <v>0</v>
      </c>
      <c r="I37" s="14">
        <f>(2.28+61)*2*H37</f>
        <v>0</v>
      </c>
    </row>
    <row r="38" spans="3:9" s="5" customFormat="1" ht="12.75">
      <c r="C38" s="8" t="s">
        <v>5</v>
      </c>
      <c r="D38" s="5" t="b">
        <f>IF($C$23=2,'data&amp;calc'!$B$60)</f>
        <v>0</v>
      </c>
      <c r="E38" s="5" t="s">
        <v>0</v>
      </c>
      <c r="F38" s="13">
        <f>D38/(3.05*30.5)</f>
        <v>0</v>
      </c>
      <c r="G38" s="14">
        <f>(3.05+30.5)*F38</f>
        <v>0</v>
      </c>
      <c r="H38" s="13">
        <f>D38/(3.05*61)</f>
        <v>0</v>
      </c>
      <c r="I38" s="14">
        <f>(3.05+61)*H38</f>
        <v>0</v>
      </c>
    </row>
    <row r="39" spans="3:9" s="5" customFormat="1" ht="12.75">
      <c r="C39" s="8" t="s">
        <v>6</v>
      </c>
      <c r="D39" s="5" t="b">
        <f>IF($C$23=3,'data&amp;calc'!$B$60)</f>
        <v>0</v>
      </c>
      <c r="E39" s="5" t="s">
        <v>0</v>
      </c>
      <c r="F39" s="13">
        <f>D39/(5.08*30.5)</f>
        <v>0</v>
      </c>
      <c r="G39" s="14">
        <f>(5.08+30.5)*F39</f>
        <v>0</v>
      </c>
      <c r="H39" s="13">
        <f>D39/(5.08*61)</f>
        <v>0</v>
      </c>
      <c r="I39" s="14">
        <f>(5.08+61)*H39</f>
        <v>0</v>
      </c>
    </row>
    <row r="40" spans="3:9" s="5" customFormat="1" ht="12.75">
      <c r="C40" s="8" t="s">
        <v>7</v>
      </c>
      <c r="D40" s="5" t="b">
        <f>IF($C$23=4,'data&amp;calc'!$B$60)</f>
        <v>0</v>
      </c>
      <c r="E40" s="5" t="s">
        <v>0</v>
      </c>
      <c r="F40" s="13">
        <f>D40/(6.1*30.5)</f>
        <v>0</v>
      </c>
      <c r="G40" s="14">
        <f>(6.1+30.5)*F40</f>
        <v>0</v>
      </c>
      <c r="H40" s="13">
        <f>D40/(6.1*61)</f>
        <v>0</v>
      </c>
      <c r="I40" s="14">
        <f>(6.1+61)*H40</f>
        <v>0</v>
      </c>
    </row>
    <row r="41" spans="3:9" s="5" customFormat="1" ht="12.75">
      <c r="C41" s="8" t="s">
        <v>8</v>
      </c>
      <c r="D41" s="5" t="b">
        <f>IF($C$23=5,'data&amp;calc'!$B$60)</f>
        <v>0</v>
      </c>
      <c r="E41" s="5" t="s">
        <v>0</v>
      </c>
      <c r="F41" s="13">
        <f>D41/(7.62*30.5)</f>
        <v>0</v>
      </c>
      <c r="G41" s="14">
        <f>(7.62+30.5)*F41</f>
        <v>0</v>
      </c>
      <c r="H41" s="13">
        <f>D41/(7.62*61)</f>
        <v>0</v>
      </c>
      <c r="I41" s="14">
        <f>(7.62+61)*H41</f>
        <v>0</v>
      </c>
    </row>
    <row r="42" spans="3:9" s="5" customFormat="1" ht="12.75">
      <c r="C42" s="8" t="s">
        <v>9</v>
      </c>
      <c r="D42" s="5" t="b">
        <f>IF($C$23=6,'data&amp;calc'!$B$60)</f>
        <v>0</v>
      </c>
      <c r="E42" s="5" t="s">
        <v>0</v>
      </c>
      <c r="F42" s="13">
        <f>D42/(9.15*30.5)</f>
        <v>0</v>
      </c>
      <c r="G42" s="14">
        <f>(9.15+30.5)*F42</f>
        <v>0</v>
      </c>
      <c r="H42" s="13">
        <f>D42/(9.15*61)</f>
        <v>0</v>
      </c>
      <c r="I42" s="14">
        <f>(9.15+61)*H42</f>
        <v>0</v>
      </c>
    </row>
    <row r="43" spans="3:9" s="5" customFormat="1" ht="12.75">
      <c r="C43" s="8" t="s">
        <v>10</v>
      </c>
      <c r="D43" s="5" t="b">
        <f>IF($C$23=7,'data&amp;calc'!$B$60)</f>
        <v>0</v>
      </c>
      <c r="E43" s="5" t="s">
        <v>0</v>
      </c>
      <c r="F43" s="13">
        <f>D43/(12.2*30.5)</f>
        <v>0</v>
      </c>
      <c r="G43" s="14">
        <f>(12.2+30.5)*F43</f>
        <v>0</v>
      </c>
      <c r="H43" s="13">
        <f>D43/(12.2*61)</f>
        <v>0</v>
      </c>
      <c r="I43" s="14">
        <f>(12.2+61)*H43</f>
        <v>0</v>
      </c>
    </row>
    <row r="44" spans="3:9" s="5" customFormat="1" ht="12.75">
      <c r="C44" s="8" t="s">
        <v>11</v>
      </c>
      <c r="D44" s="5">
        <f>IF($C$23=8,'data&amp;calc'!$B$60)</f>
        <v>0</v>
      </c>
      <c r="E44" s="5" t="s">
        <v>0</v>
      </c>
      <c r="F44" s="13">
        <f>D44/(15.25*30.5)</f>
        <v>0</v>
      </c>
      <c r="G44" s="14">
        <f>(15.25+30.5)*F44</f>
        <v>0</v>
      </c>
      <c r="H44" s="13">
        <f>D44/(15.25*61)</f>
        <v>0</v>
      </c>
      <c r="I44" s="14">
        <f>(15.25+61)*H44</f>
        <v>0</v>
      </c>
    </row>
    <row r="45" spans="6:9" s="5" customFormat="1" ht="12.75">
      <c r="F45" s="13"/>
      <c r="G45" s="14"/>
      <c r="H45" s="13"/>
      <c r="I45" s="14"/>
    </row>
    <row r="46" spans="5:10" s="5" customFormat="1" ht="13.5" thickBot="1">
      <c r="E46" s="8" t="s">
        <v>64</v>
      </c>
      <c r="F46" s="168">
        <f>ROUNDUP(SUM(G37:G44),0)+E106</f>
        <v>0</v>
      </c>
      <c r="G46" s="170"/>
      <c r="H46" s="168">
        <f>ROUNDUP(SUM(I37:I44),0)+E106</f>
        <v>0</v>
      </c>
      <c r="I46" s="170"/>
      <c r="J46" s="3"/>
    </row>
    <row r="47" spans="6:10" ht="12.75">
      <c r="F47" s="6"/>
      <c r="G47" s="7"/>
      <c r="H47" s="7"/>
      <c r="I47" s="7"/>
      <c r="J47" s="1"/>
    </row>
    <row r="48" spans="1:10" s="5" customFormat="1" ht="13.5" thickBot="1">
      <c r="A48" s="3" t="s">
        <v>65</v>
      </c>
      <c r="C48" s="4" t="s">
        <v>66</v>
      </c>
      <c r="F48" s="9"/>
      <c r="G48" s="10"/>
      <c r="H48" s="10"/>
      <c r="I48" s="10"/>
      <c r="J48" s="3"/>
    </row>
    <row r="49" spans="6:10" s="5" customFormat="1" ht="12.75">
      <c r="F49" s="11" t="s">
        <v>62</v>
      </c>
      <c r="G49" s="12"/>
      <c r="H49" s="11" t="s">
        <v>63</v>
      </c>
      <c r="I49" s="12"/>
      <c r="J49" s="3"/>
    </row>
    <row r="50" spans="5:10" s="5" customFormat="1" ht="12.75">
      <c r="E50" s="8" t="s">
        <v>67</v>
      </c>
      <c r="F50" s="13">
        <f>ROUNDUP(SUM(F37:F44),0)*2</f>
        <v>0</v>
      </c>
      <c r="G50" s="17">
        <f>ROUNDUP(F46/30.5,0)</f>
        <v>0</v>
      </c>
      <c r="H50" s="13">
        <f>ROUNDUP(SUM(H37:H44),0)*2</f>
        <v>0</v>
      </c>
      <c r="I50" s="17">
        <f>ROUNDUP(H46/30.5,0)</f>
        <v>0</v>
      </c>
      <c r="J50" s="3"/>
    </row>
    <row r="51" spans="6:10" s="5" customFormat="1" ht="12.75">
      <c r="F51" s="13"/>
      <c r="G51" s="17"/>
      <c r="H51" s="13"/>
      <c r="I51" s="17"/>
      <c r="J51" s="3"/>
    </row>
    <row r="52" spans="5:10" s="5" customFormat="1" ht="13.5" thickBot="1">
      <c r="E52" s="8" t="s">
        <v>68</v>
      </c>
      <c r="F52" s="168">
        <f>F50+G50</f>
        <v>0</v>
      </c>
      <c r="G52" s="169"/>
      <c r="H52" s="168">
        <f>H50+I50</f>
        <v>0</v>
      </c>
      <c r="I52" s="169"/>
      <c r="J52" s="3"/>
    </row>
    <row r="53" spans="6:9" ht="12.75">
      <c r="F53" s="6"/>
      <c r="G53" s="6"/>
      <c r="H53" s="6"/>
      <c r="I53" s="6"/>
    </row>
    <row r="54" spans="1:3" s="5" customFormat="1" ht="12.75">
      <c r="A54" s="3" t="s">
        <v>69</v>
      </c>
      <c r="C54" s="4" t="s">
        <v>70</v>
      </c>
    </row>
    <row r="55" s="5" customFormat="1" ht="12.75"/>
    <row r="56" spans="2:4" s="5" customFormat="1" ht="12.75">
      <c r="B56" s="5">
        <f>Input!$H$40+Input!$H$40*Input!$H$41/100</f>
        <v>0</v>
      </c>
      <c r="C56" s="5" t="s">
        <v>0</v>
      </c>
      <c r="D56" s="5" t="s">
        <v>42</v>
      </c>
    </row>
    <row r="57" spans="2:4" s="5" customFormat="1" ht="12.75">
      <c r="B57" s="5">
        <f>Input!$H$42*(SQRT(Input!$H$44*Input!$H$44+(Input!$H$45*Input!$H$44)*(Input!$H$45*Input!$H$44))-Input!$H$45*Input!$H$44)</f>
        <v>0</v>
      </c>
      <c r="C57" s="5" t="s">
        <v>0</v>
      </c>
      <c r="D57" s="5" t="s">
        <v>40</v>
      </c>
    </row>
    <row r="58" spans="2:4" s="5" customFormat="1" ht="12.75">
      <c r="B58" s="5">
        <f>Input!$H$42*Input!$H$43</f>
        <v>0</v>
      </c>
      <c r="C58" s="5" t="s">
        <v>0</v>
      </c>
      <c r="D58" s="5" t="s">
        <v>41</v>
      </c>
    </row>
    <row r="59" s="5" customFormat="1" ht="12.75"/>
    <row r="60" spans="2:4" s="5" customFormat="1" ht="12.75">
      <c r="B60" s="3">
        <f>SUM(B56:B58)</f>
        <v>0</v>
      </c>
      <c r="C60" s="3" t="s">
        <v>0</v>
      </c>
      <c r="D60" s="5" t="s">
        <v>71</v>
      </c>
    </row>
    <row r="62" spans="1:3" s="5" customFormat="1" ht="12.75">
      <c r="A62" s="3" t="s">
        <v>72</v>
      </c>
      <c r="C62" s="4" t="s">
        <v>73</v>
      </c>
    </row>
    <row r="63" s="5" customFormat="1" ht="12.75"/>
    <row r="64" spans="2:4" s="5" customFormat="1" ht="12.75">
      <c r="B64" s="5">
        <f>ROUNDUP(B60,0)</f>
        <v>0</v>
      </c>
      <c r="C64" s="5" t="s">
        <v>0</v>
      </c>
      <c r="D64" s="5" t="s">
        <v>74</v>
      </c>
    </row>
    <row r="65" spans="2:4" s="5" customFormat="1" ht="12.75">
      <c r="B65" s="5">
        <f>ROUNDUP(Input!H56*0.15,0)</f>
        <v>0</v>
      </c>
      <c r="C65" s="5" t="s">
        <v>0</v>
      </c>
      <c r="D65" s="5" t="s">
        <v>75</v>
      </c>
    </row>
    <row r="66" spans="2:4" s="5" customFormat="1" ht="12.75">
      <c r="B66" s="5">
        <f>E105</f>
        <v>0</v>
      </c>
      <c r="C66" s="5" t="s">
        <v>0</v>
      </c>
      <c r="D66" s="5" t="s">
        <v>164</v>
      </c>
    </row>
    <row r="67" s="5" customFormat="1" ht="12.75"/>
    <row r="68" spans="2:4" s="5" customFormat="1" ht="12.75">
      <c r="B68" s="3">
        <f>SUM(B64:B65)</f>
        <v>0</v>
      </c>
      <c r="C68" s="3" t="s">
        <v>0</v>
      </c>
      <c r="D68" s="5" t="s">
        <v>76</v>
      </c>
    </row>
    <row r="70" spans="1:3" s="5" customFormat="1" ht="12.75">
      <c r="A70" s="3" t="s">
        <v>118</v>
      </c>
      <c r="C70" s="4" t="s">
        <v>119</v>
      </c>
    </row>
    <row r="71" s="5" customFormat="1" ht="12.75"/>
    <row r="72" spans="2:3" s="5" customFormat="1" ht="12.75">
      <c r="B72" s="5">
        <f>Input!H57*0.15</f>
        <v>0</v>
      </c>
      <c r="C72" s="5" t="s">
        <v>1</v>
      </c>
    </row>
    <row r="74" spans="1:3" s="5" customFormat="1" ht="12.75">
      <c r="A74" s="3" t="s">
        <v>120</v>
      </c>
      <c r="C74" s="4" t="s">
        <v>121</v>
      </c>
    </row>
    <row r="75" spans="1:3" s="5" customFormat="1" ht="12.75">
      <c r="A75" s="3"/>
      <c r="C75" s="4"/>
    </row>
    <row r="76" spans="1:4" s="5" customFormat="1" ht="12.75">
      <c r="A76" s="3"/>
      <c r="C76" s="4" t="s">
        <v>135</v>
      </c>
      <c r="D76" s="5" t="s">
        <v>137</v>
      </c>
    </row>
    <row r="77" spans="1:4" s="5" customFormat="1" ht="12.75">
      <c r="A77" s="3"/>
      <c r="C77" s="4" t="s">
        <v>134</v>
      </c>
      <c r="D77" s="5" t="s">
        <v>136</v>
      </c>
    </row>
    <row r="78" spans="1:3" s="5" customFormat="1" ht="12.75">
      <c r="A78" s="3"/>
      <c r="C78" s="4"/>
    </row>
    <row r="79" spans="2:7" s="5" customFormat="1" ht="51">
      <c r="B79" s="5" t="s">
        <v>145</v>
      </c>
      <c r="D79" s="18" t="s">
        <v>132</v>
      </c>
      <c r="E79" s="18" t="s">
        <v>133</v>
      </c>
      <c r="G79" s="5" t="s">
        <v>138</v>
      </c>
    </row>
    <row r="80" spans="2:7" s="5" customFormat="1" ht="12.75">
      <c r="B80" s="8" t="s">
        <v>131</v>
      </c>
      <c r="C80" s="19">
        <f>Output!K35</f>
        <v>0</v>
      </c>
      <c r="D80" s="5">
        <v>40</v>
      </c>
      <c r="E80" s="5">
        <v>60</v>
      </c>
      <c r="G80" s="20">
        <f>IF($C$5=1,'data&amp;calc'!C80/'data&amp;calc'!E80,IF($C$5=4,'data&amp;calc'!C80/'data&amp;calc'!E80,'data&amp;calc'!C80/'data&amp;calc'!D80))</f>
        <v>0</v>
      </c>
    </row>
    <row r="81" spans="2:7" s="5" customFormat="1" ht="12.75">
      <c r="B81" s="8" t="s">
        <v>141</v>
      </c>
      <c r="C81" s="19">
        <f>Output!$K$46</f>
        <v>0</v>
      </c>
      <c r="D81" s="5">
        <v>25</v>
      </c>
      <c r="E81" s="5">
        <v>40</v>
      </c>
      <c r="G81" s="20">
        <f>IF($C$5=1,'data&amp;calc'!C81/'data&amp;calc'!E81,IF($C$5=4,'data&amp;calc'!C81/'data&amp;calc'!E81,'data&amp;calc'!C81/'data&amp;calc'!D81))</f>
        <v>0</v>
      </c>
    </row>
    <row r="82" spans="2:7" s="5" customFormat="1" ht="12.75">
      <c r="B82" s="8" t="s">
        <v>139</v>
      </c>
      <c r="C82" s="19">
        <f>Output!K36</f>
        <v>0</v>
      </c>
      <c r="D82" s="5">
        <f>E82*0.7</f>
        <v>45.5</v>
      </c>
      <c r="E82" s="5">
        <v>65</v>
      </c>
      <c r="G82" s="20">
        <f>IF($C$5=1,'data&amp;calc'!C82/'data&amp;calc'!E82,IF($C$5=4,'data&amp;calc'!C82/'data&amp;calc'!E82,'data&amp;calc'!C82/'data&amp;calc'!D82))</f>
        <v>0</v>
      </c>
    </row>
    <row r="83" spans="2:7" s="5" customFormat="1" ht="12.75">
      <c r="B83" s="8" t="s">
        <v>140</v>
      </c>
      <c r="C83" s="19">
        <f>Output!$K$37</f>
        <v>0</v>
      </c>
      <c r="D83" s="5">
        <f>E83*0.7</f>
        <v>38.5</v>
      </c>
      <c r="E83" s="5">
        <v>55</v>
      </c>
      <c r="G83" s="20">
        <f>IF($C$5=1,'data&amp;calc'!C83/'data&amp;calc'!E83,IF($C$5=4,'data&amp;calc'!C83/'data&amp;calc'!E83,'data&amp;calc'!C83/'data&amp;calc'!D83))</f>
        <v>0</v>
      </c>
    </row>
    <row r="84" spans="2:7" s="5" customFormat="1" ht="12.75">
      <c r="B84" s="8" t="s">
        <v>142</v>
      </c>
      <c r="C84" s="19">
        <f>Output!$K$47</f>
        <v>0</v>
      </c>
      <c r="D84" s="5">
        <v>25</v>
      </c>
      <c r="E84" s="5">
        <v>35</v>
      </c>
      <c r="G84" s="20">
        <f>IF($C$5=1,'data&amp;calc'!C84/'data&amp;calc'!E84,IF($C$5=4,'data&amp;calc'!C84/'data&amp;calc'!E84,'data&amp;calc'!C84/'data&amp;calc'!D84))</f>
        <v>0</v>
      </c>
    </row>
    <row r="85" s="5" customFormat="1" ht="12.75"/>
    <row r="86" spans="6:7" s="5" customFormat="1" ht="12.75">
      <c r="F86" s="21" t="s">
        <v>144</v>
      </c>
      <c r="G86" s="22">
        <f>SUM(G80:G84)</f>
        <v>0</v>
      </c>
    </row>
    <row r="88" s="5" customFormat="1" ht="12.75">
      <c r="A88" s="3" t="s">
        <v>146</v>
      </c>
    </row>
    <row r="89" s="5" customFormat="1" ht="12.75"/>
    <row r="90" spans="2:6" s="5" customFormat="1" ht="12.75">
      <c r="B90" s="4" t="s">
        <v>147</v>
      </c>
      <c r="C90" s="8" t="s">
        <v>149</v>
      </c>
      <c r="D90" s="24" t="s">
        <v>150</v>
      </c>
      <c r="F90" s="5" t="s">
        <v>151</v>
      </c>
    </row>
    <row r="91" spans="2:6" s="5" customFormat="1" ht="12.75">
      <c r="B91" s="8" t="s">
        <v>148</v>
      </c>
      <c r="C91" s="5">
        <f>Input!H57</f>
        <v>0</v>
      </c>
      <c r="D91" s="5">
        <v>7</v>
      </c>
      <c r="F91" s="5">
        <f>C91/D91</f>
        <v>0</v>
      </c>
    </row>
    <row r="92" spans="2:6" s="5" customFormat="1" ht="12.75">
      <c r="B92" s="8" t="s">
        <v>152</v>
      </c>
      <c r="C92" s="5">
        <f>Input!H52</f>
        <v>0</v>
      </c>
      <c r="D92" s="5">
        <v>7</v>
      </c>
      <c r="F92" s="5">
        <f>C92/D92</f>
        <v>0</v>
      </c>
    </row>
    <row r="93" spans="2:6" s="5" customFormat="1" ht="12.75">
      <c r="B93" s="8" t="s">
        <v>154</v>
      </c>
      <c r="C93" s="25">
        <f>Output!K47</f>
        <v>0</v>
      </c>
      <c r="D93" s="5">
        <f>D92</f>
        <v>7</v>
      </c>
      <c r="F93" s="5">
        <f>C93/D93</f>
        <v>0</v>
      </c>
    </row>
    <row r="94" s="5" customFormat="1" ht="12.75"/>
    <row r="95" spans="5:6" s="5" customFormat="1" ht="12.75">
      <c r="E95" s="21" t="s">
        <v>153</v>
      </c>
      <c r="F95" s="22">
        <f>SUM(F91:F93)</f>
        <v>0</v>
      </c>
    </row>
    <row r="97" s="5" customFormat="1" ht="12.75">
      <c r="A97" s="3" t="s">
        <v>155</v>
      </c>
    </row>
    <row r="98" s="5" customFormat="1" ht="12.75"/>
    <row r="99" spans="2:6" s="5" customFormat="1" ht="12.75">
      <c r="B99" s="4" t="s">
        <v>147</v>
      </c>
      <c r="C99" s="8" t="s">
        <v>156</v>
      </c>
      <c r="D99" s="24" t="s">
        <v>150</v>
      </c>
      <c r="F99" s="5" t="s">
        <v>151</v>
      </c>
    </row>
    <row r="100" spans="2:6" s="5" customFormat="1" ht="12.75">
      <c r="B100" s="8" t="s">
        <v>152</v>
      </c>
      <c r="C100" s="5">
        <f>Input!H52</f>
        <v>0</v>
      </c>
      <c r="D100" s="5">
        <v>3</v>
      </c>
      <c r="F100" s="5">
        <f>C100/D100</f>
        <v>0</v>
      </c>
    </row>
    <row r="102" s="5" customFormat="1" ht="12.75">
      <c r="A102" s="3" t="s">
        <v>157</v>
      </c>
    </row>
    <row r="103" s="5" customFormat="1" ht="12.75"/>
    <row r="104" spans="2:5" s="5" customFormat="1" ht="12.75">
      <c r="B104" s="4" t="s">
        <v>158</v>
      </c>
      <c r="C104" s="5" t="s">
        <v>160</v>
      </c>
      <c r="D104" s="5" t="s">
        <v>161</v>
      </c>
      <c r="E104" s="5" t="s">
        <v>162</v>
      </c>
    </row>
    <row r="105" spans="2:7" s="5" customFormat="1" ht="12.75">
      <c r="B105" s="8" t="s">
        <v>159</v>
      </c>
      <c r="C105" s="5">
        <v>1</v>
      </c>
      <c r="D105" s="5">
        <f>Input!$H$51</f>
        <v>0</v>
      </c>
      <c r="E105" s="5">
        <f>D105*C105</f>
        <v>0</v>
      </c>
      <c r="F105" s="5" t="s">
        <v>0</v>
      </c>
      <c r="G105" s="3" t="s">
        <v>163</v>
      </c>
    </row>
    <row r="106" spans="2:7" s="5" customFormat="1" ht="12.75">
      <c r="B106" s="8" t="s">
        <v>165</v>
      </c>
      <c r="C106" s="5">
        <v>4</v>
      </c>
      <c r="D106" s="5">
        <f>Input!$H$51</f>
        <v>0</v>
      </c>
      <c r="E106" s="5">
        <f>D106*C106</f>
        <v>0</v>
      </c>
      <c r="F106" s="5" t="s">
        <v>1</v>
      </c>
      <c r="G106" s="3" t="s">
        <v>166</v>
      </c>
    </row>
    <row r="107" spans="2:7" s="5" customFormat="1" ht="12.75">
      <c r="B107" s="8" t="s">
        <v>167</v>
      </c>
      <c r="C107" s="5">
        <v>4</v>
      </c>
      <c r="D107" s="5">
        <f>Input!$H$51</f>
        <v>0</v>
      </c>
      <c r="E107" s="171">
        <f>C107*0.25*C107*D107+C108*D108</f>
        <v>0</v>
      </c>
      <c r="F107" s="171" t="s">
        <v>1</v>
      </c>
      <c r="G107" s="171" t="s">
        <v>169</v>
      </c>
    </row>
    <row r="108" spans="2:7" s="5" customFormat="1" ht="12.75">
      <c r="B108" s="8" t="s">
        <v>168</v>
      </c>
      <c r="C108" s="5">
        <f>3.1415*Input!F51/1000+0.075</f>
        <v>0.075</v>
      </c>
      <c r="D108" s="5">
        <f>Input!$H$51</f>
        <v>0</v>
      </c>
      <c r="E108" s="171"/>
      <c r="F108" s="171"/>
      <c r="G108" s="171"/>
    </row>
    <row r="109" ht="12.75">
      <c r="B109" s="23"/>
    </row>
    <row r="110" s="5" customFormat="1" ht="12.75">
      <c r="A110" s="3" t="s">
        <v>180</v>
      </c>
    </row>
    <row r="111" spans="2:3" s="5" customFormat="1" ht="12.75">
      <c r="B111" s="4" t="s">
        <v>181</v>
      </c>
      <c r="C111" s="5" t="b">
        <v>0</v>
      </c>
    </row>
  </sheetData>
  <sheetProtection/>
  <mergeCells count="7">
    <mergeCell ref="H52:I52"/>
    <mergeCell ref="F46:G46"/>
    <mergeCell ref="H46:I46"/>
    <mergeCell ref="E107:E108"/>
    <mergeCell ref="F107:F108"/>
    <mergeCell ref="G107:G108"/>
    <mergeCell ref="F52:G5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Q62"/>
  <sheetViews>
    <sheetView showRowColHeaders="0" tabSelected="1" zoomScalePageLayoutView="0" workbookViewId="0" topLeftCell="A1">
      <pane ySplit="4" topLeftCell="A5" activePane="bottomLeft" state="frozen"/>
      <selection pane="topLeft" activeCell="A1" sqref="A1"/>
      <selection pane="bottomLeft" activeCell="H51" sqref="H51"/>
    </sheetView>
  </sheetViews>
  <sheetFormatPr defaultColWidth="9.140625" defaultRowHeight="12.75"/>
  <cols>
    <col min="1" max="2" width="4.7109375" style="34" customWidth="1"/>
    <col min="3" max="6" width="11.7109375" style="34" customWidth="1"/>
    <col min="7" max="7" width="13.28125" style="34" customWidth="1"/>
    <col min="8" max="8" width="11.7109375" style="34" customWidth="1"/>
    <col min="9" max="10" width="4.7109375" style="34" customWidth="1"/>
    <col min="11" max="16" width="9.140625" style="34" customWidth="1"/>
    <col min="17" max="17" width="10.140625" style="38" bestFit="1" customWidth="1"/>
    <col min="18" max="16384" width="9.140625" style="34" customWidth="1"/>
  </cols>
  <sheetData>
    <row r="1" spans="9:14" ht="12.75">
      <c r="I1" s="177" t="s">
        <v>247</v>
      </c>
      <c r="J1" s="177"/>
      <c r="K1" s="177"/>
      <c r="L1" s="177"/>
      <c r="M1" s="177"/>
      <c r="N1" s="177"/>
    </row>
    <row r="2" spans="9:15" ht="12.75" customHeight="1">
      <c r="I2" s="177"/>
      <c r="J2" s="177"/>
      <c r="K2" s="177"/>
      <c r="L2" s="177"/>
      <c r="M2" s="177"/>
      <c r="N2" s="177"/>
      <c r="O2" s="151"/>
    </row>
    <row r="3" spans="9:15" ht="12.75">
      <c r="I3" s="177"/>
      <c r="J3" s="177"/>
      <c r="K3" s="177"/>
      <c r="L3" s="177"/>
      <c r="M3" s="177"/>
      <c r="N3" s="177"/>
      <c r="O3" s="151"/>
    </row>
    <row r="4" spans="9:15" ht="12.75">
      <c r="I4" s="177"/>
      <c r="J4" s="177"/>
      <c r="K4" s="177"/>
      <c r="L4" s="177"/>
      <c r="M4" s="177"/>
      <c r="N4" s="177"/>
      <c r="O4" s="151"/>
    </row>
    <row r="5" spans="9:15" ht="12.75">
      <c r="I5" s="151"/>
      <c r="J5" s="151"/>
      <c r="K5" s="151"/>
      <c r="L5" s="151"/>
      <c r="M5" s="151"/>
      <c r="N5" s="151"/>
      <c r="O5" s="151"/>
    </row>
    <row r="6" spans="2:6" ht="18">
      <c r="B6" s="74" t="s">
        <v>209</v>
      </c>
      <c r="C6" s="39"/>
      <c r="D6" s="39"/>
      <c r="E6" s="39"/>
      <c r="F6" s="39"/>
    </row>
    <row r="7" spans="2:6" ht="6.75" customHeight="1">
      <c r="B7" s="39"/>
      <c r="C7" s="39"/>
      <c r="D7" s="39"/>
      <c r="E7" s="39"/>
      <c r="F7" s="39"/>
    </row>
    <row r="8" spans="2:6" ht="12.75">
      <c r="B8" s="75" t="s">
        <v>236</v>
      </c>
      <c r="C8" s="76"/>
      <c r="D8" s="76"/>
      <c r="E8" s="76"/>
      <c r="F8" s="76"/>
    </row>
    <row r="9" spans="2:6" ht="12.75" hidden="1">
      <c r="B9" s="75"/>
      <c r="C9" s="76"/>
      <c r="D9" s="76"/>
      <c r="E9" s="76"/>
      <c r="F9" s="76"/>
    </row>
    <row r="10" spans="2:6" ht="12.75" hidden="1">
      <c r="B10" s="75"/>
      <c r="D10" s="76"/>
      <c r="E10" s="76"/>
      <c r="F10" s="76"/>
    </row>
    <row r="11" ht="12.75" hidden="1">
      <c r="B11" s="75"/>
    </row>
    <row r="12" ht="6.75" customHeight="1">
      <c r="B12" s="83"/>
    </row>
    <row r="13" spans="2:6" ht="12.75">
      <c r="B13" s="39" t="s">
        <v>202</v>
      </c>
      <c r="C13" s="39"/>
      <c r="D13" s="39"/>
      <c r="E13" s="39"/>
      <c r="F13" s="39"/>
    </row>
    <row r="14" spans="3:6" ht="6.75" customHeight="1">
      <c r="C14" s="39"/>
      <c r="D14" s="39"/>
      <c r="E14" s="39"/>
      <c r="F14" s="39"/>
    </row>
    <row r="15" spans="2:17" s="73" customFormat="1" ht="15.75" customHeight="1">
      <c r="B15" s="113"/>
      <c r="C15" s="114" t="s">
        <v>250</v>
      </c>
      <c r="D15" s="172"/>
      <c r="E15" s="172"/>
      <c r="F15" s="172"/>
      <c r="G15" s="172"/>
      <c r="H15" s="173"/>
      <c r="L15" s="115"/>
      <c r="Q15" s="93"/>
    </row>
    <row r="16" spans="2:17" s="73" customFormat="1" ht="15.75" customHeight="1">
      <c r="B16" s="113"/>
      <c r="C16" s="114" t="s">
        <v>194</v>
      </c>
      <c r="D16" s="174"/>
      <c r="E16" s="174"/>
      <c r="F16" s="114"/>
      <c r="G16" s="175"/>
      <c r="H16" s="175"/>
      <c r="I16" s="115"/>
      <c r="K16" s="115"/>
      <c r="Q16" s="93"/>
    </row>
    <row r="17" spans="2:17" s="73" customFormat="1" ht="15.75" customHeight="1">
      <c r="B17" s="113"/>
      <c r="C17" s="114" t="s">
        <v>195</v>
      </c>
      <c r="D17" s="117"/>
      <c r="E17" s="114"/>
      <c r="F17" s="114"/>
      <c r="G17" s="114"/>
      <c r="L17" s="115"/>
      <c r="Q17" s="93"/>
    </row>
    <row r="18" spans="2:17" s="73" customFormat="1" ht="6.75" customHeight="1">
      <c r="B18" s="113"/>
      <c r="C18" s="114"/>
      <c r="D18" s="114"/>
      <c r="E18" s="114"/>
      <c r="F18" s="114"/>
      <c r="G18" s="114"/>
      <c r="H18" s="113"/>
      <c r="Q18" s="93"/>
    </row>
    <row r="19" ht="12.75">
      <c r="B19" s="39" t="s">
        <v>208</v>
      </c>
    </row>
    <row r="20" ht="6.75" customHeight="1"/>
    <row r="21" spans="4:7" ht="12.75">
      <c r="D21" s="118" t="s">
        <v>199</v>
      </c>
      <c r="G21" s="118" t="s">
        <v>197</v>
      </c>
    </row>
    <row r="22" spans="4:12" ht="15.75" customHeight="1">
      <c r="D22" s="50" t="str">
        <f>IF('data&amp;calc'!$C$12=1,".040 (1.0 mm) PondGard",IF('data&amp;calc'!$C$12=2,".045 (1.1 mm) Geomembrane",IF('data&amp;calc'!$C$12=3,".060 (1.5 mm) Geomembrane")))</f>
        <v>.040 (1.0 mm) PondGard</v>
      </c>
      <c r="E22" s="119"/>
      <c r="F22" s="119"/>
      <c r="G22" s="50" t="str">
        <f>IF('data&amp;calc'!$C$18=1,"100' (30.50m)","200' (61.00m)")</f>
        <v>100' (30.50m)</v>
      </c>
      <c r="H22" s="119"/>
      <c r="K22" s="120">
        <v>2</v>
      </c>
      <c r="L22" s="120">
        <v>2</v>
      </c>
    </row>
    <row r="23" spans="7:12" ht="15.75" customHeight="1">
      <c r="G23" s="118" t="s">
        <v>198</v>
      </c>
      <c r="K23" s="120"/>
      <c r="L23" s="120"/>
    </row>
    <row r="24" spans="7:12" ht="15.75" customHeight="1">
      <c r="G24" s="50" t="str">
        <f>IF('data&amp;calc'!$C$23=5,"25' / 7.62m",IF('data&amp;calc'!$C$23=6,"30' / 9.15m",IF('data&amp;calc'!$C$23=7,"40' / 12.20m",IF('data&amp;calc'!$C$23=8,"50' / 15.25m",K24))))</f>
        <v>50' / 15.25m</v>
      </c>
      <c r="H24" s="119"/>
      <c r="K24" s="120" t="b">
        <f>IF('data&amp;calc'!$C$23=1,"7.5' / 2.28m",IF('data&amp;calc'!$C$23=2,"10' / 3.05",IF('data&amp;calc'!$C$23=3,"16.7' / 5.08m",IF('data&amp;calc'!$C$23=4,"20' / 6.10m"))))</f>
        <v>0</v>
      </c>
      <c r="L24" s="120">
        <v>4</v>
      </c>
    </row>
    <row r="25" ht="6.75" customHeight="1"/>
    <row r="26" ht="12.75">
      <c r="B26" s="39" t="s">
        <v>196</v>
      </c>
    </row>
    <row r="27" ht="6.75" customHeight="1"/>
    <row r="28" ht="12.75"/>
    <row r="29" ht="12.75"/>
    <row r="30" ht="12.75"/>
    <row r="31" ht="12.75"/>
    <row r="32" ht="12.75"/>
    <row r="33" ht="12.75">
      <c r="F33" s="121" t="s">
        <v>3</v>
      </c>
    </row>
    <row r="34" ht="12.75"/>
    <row r="35" ht="12.75"/>
    <row r="36" ht="12.75"/>
    <row r="37" ht="12.75"/>
    <row r="38" ht="15.75" customHeight="1"/>
    <row r="39" ht="6.75" customHeight="1">
      <c r="I39" s="30"/>
    </row>
    <row r="40" spans="7:17" s="73" customFormat="1" ht="15.75" customHeight="1">
      <c r="G40" s="122" t="s">
        <v>201</v>
      </c>
      <c r="H40" s="116"/>
      <c r="I40" s="123" t="s">
        <v>215</v>
      </c>
      <c r="K40" s="124" t="str">
        <f>IF(H40="","Пожалуйста введите площадь.",IF(H40=0,"Пожалуйста введите площадь."," "))</f>
        <v>Пожалуйста введите площадь.</v>
      </c>
      <c r="Q40" s="93"/>
    </row>
    <row r="41" spans="7:17" s="73" customFormat="1" ht="15.75" customHeight="1">
      <c r="G41" s="125" t="s">
        <v>200</v>
      </c>
      <c r="H41" s="116"/>
      <c r="I41" s="123" t="s">
        <v>39</v>
      </c>
      <c r="K41" s="124" t="str">
        <f>IF(H41="","Может быть между 5 и 15%.",IF(H41&gt;20,"Check layout to decrease loss%!",IF(H41=0,"Normally between ( à 15%."," ")))</f>
        <v>Может быть между 5 и 15%.</v>
      </c>
      <c r="Q41" s="93"/>
    </row>
    <row r="42" spans="7:17" s="73" customFormat="1" ht="15.75" customHeight="1">
      <c r="G42" s="122" t="s">
        <v>204</v>
      </c>
      <c r="H42" s="116"/>
      <c r="I42" s="123" t="s">
        <v>213</v>
      </c>
      <c r="K42" s="124" t="str">
        <f>IF(H42="","Пожалуйста, введите периметр.",IF(H42=0,"Пожалуйста, введите периметр."," "))</f>
        <v>Пожалуйста, введите периметр.</v>
      </c>
      <c r="Q42" s="93"/>
    </row>
    <row r="43" spans="7:17" s="73" customFormat="1" ht="15.75" customHeight="1">
      <c r="G43" s="122" t="s">
        <v>203</v>
      </c>
      <c r="H43" s="116"/>
      <c r="I43" s="123" t="s">
        <v>214</v>
      </c>
      <c r="K43" s="124" t="str">
        <f>IF(H43="","Пожалуйста введите размер заступа по краям (С).",IF(H43=0,"Пожалуйста введите размер заступа по краям (С).",IF(H42="","Пожалуйста введите периметр!",IF(H42=0,"Пожалуйста введите периметр!"," "))))</f>
        <v>Пожалуйста введите размер заступа по краям (С).</v>
      </c>
      <c r="Q43" s="93"/>
    </row>
    <row r="44" spans="7:17" s="73" customFormat="1" ht="15.75" customHeight="1">
      <c r="G44" s="72" t="s">
        <v>205</v>
      </c>
      <c r="H44" s="116"/>
      <c r="I44" s="123" t="s">
        <v>214</v>
      </c>
      <c r="K44" s="124" t="str">
        <f>IF(H44="","Пожалуйста введите глубину.",IF(H44=0,"Пожалуйста введите глубину.",IF(H42="","Пожалуйста введите периметр!",IF(H42=0,"Пожалуйста введите периметр!"," "))))</f>
        <v>Пожалуйста введите глубину.</v>
      </c>
      <c r="Q44" s="93"/>
    </row>
    <row r="45" spans="7:17" s="73" customFormat="1" ht="15.75" customHeight="1">
      <c r="G45" s="136" t="s">
        <v>206</v>
      </c>
      <c r="H45" s="116"/>
      <c r="I45" s="123"/>
      <c r="K45" s="124" t="str">
        <f>IF(H45="","Пожалуйста введите уклон.",IF(H45=0,"Пожалуйста введите уклон.",IF(H42="","Пожалуйста введите периметр!",IF(H42=0,"Пожалуйста введите периметр!"," "))))</f>
        <v>Пожалуйста введите уклон.</v>
      </c>
      <c r="Q45" s="93"/>
    </row>
    <row r="46" spans="7:17" s="73" customFormat="1" ht="15.75" customHeight="1">
      <c r="G46" s="72"/>
      <c r="H46" s="72"/>
      <c r="I46" s="123"/>
      <c r="K46" s="124"/>
      <c r="Q46" s="93"/>
    </row>
    <row r="47" spans="7:17" s="73" customFormat="1" ht="15.75" customHeight="1">
      <c r="G47" s="114" t="s">
        <v>207</v>
      </c>
      <c r="H47" s="126">
        <f>'data&amp;calc'!B60</f>
        <v>0</v>
      </c>
      <c r="I47" s="123" t="s">
        <v>215</v>
      </c>
      <c r="K47" s="124"/>
      <c r="Q47" s="93"/>
    </row>
    <row r="48" spans="7:9" ht="6.75" customHeight="1">
      <c r="G48" s="27"/>
      <c r="H48" s="27"/>
      <c r="I48" s="30"/>
    </row>
    <row r="49" spans="2:17" s="73" customFormat="1" ht="15.75" customHeight="1">
      <c r="B49" s="113" t="s">
        <v>234</v>
      </c>
      <c r="C49" s="127"/>
      <c r="D49" s="128"/>
      <c r="E49" s="114"/>
      <c r="F49" s="114"/>
      <c r="G49" s="114"/>
      <c r="Q49" s="93"/>
    </row>
    <row r="50" ht="6.75" customHeight="1"/>
    <row r="51" spans="5:11" ht="15.75" customHeight="1">
      <c r="E51" s="27" t="s">
        <v>251</v>
      </c>
      <c r="F51" s="129"/>
      <c r="G51" s="27" t="s">
        <v>210</v>
      </c>
      <c r="H51" s="130"/>
      <c r="I51" s="30" t="s">
        <v>216</v>
      </c>
      <c r="K51" s="124" t="str">
        <f>IF(H51&gt;0,IF(F51&gt;0," ","Введите диаметр трубы!")," ")</f>
        <v> </v>
      </c>
    </row>
    <row r="52" spans="7:9" ht="15.75" customHeight="1">
      <c r="G52" s="27" t="s">
        <v>217</v>
      </c>
      <c r="H52" s="130"/>
      <c r="I52" s="30" t="s">
        <v>213</v>
      </c>
    </row>
    <row r="53" spans="7:9" ht="6.75" customHeight="1">
      <c r="G53" s="27"/>
      <c r="H53" s="27"/>
      <c r="I53" s="30"/>
    </row>
    <row r="54" spans="2:17" s="73" customFormat="1" ht="15.75" customHeight="1">
      <c r="B54" s="113"/>
      <c r="C54" s="123"/>
      <c r="D54" s="128"/>
      <c r="E54" s="114"/>
      <c r="F54" s="114"/>
      <c r="G54" s="135" t="s">
        <v>223</v>
      </c>
      <c r="Q54" s="93"/>
    </row>
    <row r="55" spans="2:17" s="73" customFormat="1" ht="6.75" customHeight="1">
      <c r="B55" s="113"/>
      <c r="C55" s="118"/>
      <c r="D55" s="128"/>
      <c r="E55" s="114"/>
      <c r="F55" s="114"/>
      <c r="G55" s="114"/>
      <c r="Q55" s="93"/>
    </row>
    <row r="56" spans="7:9" ht="15.75" customHeight="1">
      <c r="G56" s="27" t="s">
        <v>211</v>
      </c>
      <c r="H56" s="34">
        <f>IF('data&amp;calc'!$C$18=1,'data&amp;calc'!$F$46,'data&amp;calc'!$H$46)</f>
        <v>0</v>
      </c>
      <c r="I56" s="30" t="s">
        <v>213</v>
      </c>
    </row>
    <row r="57" spans="7:9" ht="15.75" customHeight="1">
      <c r="G57" s="27" t="s">
        <v>212</v>
      </c>
      <c r="H57" s="34">
        <f>IF('data&amp;calc'!$C$18=1,'data&amp;calc'!$F$52,'data&amp;calc'!$H$52)</f>
        <v>0</v>
      </c>
      <c r="I57" s="30" t="s">
        <v>216</v>
      </c>
    </row>
    <row r="58" ht="6.75" customHeight="1"/>
    <row r="59" spans="2:17" s="73" customFormat="1" ht="15.75" customHeight="1">
      <c r="B59" s="113" t="s">
        <v>218</v>
      </c>
      <c r="C59" s="127"/>
      <c r="D59" s="128"/>
      <c r="E59" s="114"/>
      <c r="F59" s="114"/>
      <c r="G59" s="114"/>
      <c r="Q59" s="93"/>
    </row>
    <row r="60" ht="6.75" customHeight="1"/>
    <row r="61" spans="3:17" s="73" customFormat="1" ht="15.75" customHeight="1">
      <c r="C61" s="34"/>
      <c r="D61" s="34"/>
      <c r="E61" s="34"/>
      <c r="G61" s="72"/>
      <c r="I61" s="123"/>
      <c r="K61" s="115" t="b">
        <v>1</v>
      </c>
      <c r="Q61" s="93"/>
    </row>
    <row r="62" spans="3:17" s="73" customFormat="1" ht="15.75" customHeight="1">
      <c r="C62" s="34"/>
      <c r="D62" s="34"/>
      <c r="E62" s="34"/>
      <c r="G62" s="72"/>
      <c r="I62" s="123"/>
      <c r="Q62" s="93"/>
    </row>
  </sheetData>
  <sheetProtection password="C77D" sheet="1" formatCells="0" formatColumns="0" formatRows="0" pivotTables="0"/>
  <mergeCells count="4">
    <mergeCell ref="D15:H15"/>
    <mergeCell ref="D16:E16"/>
    <mergeCell ref="G16:H16"/>
    <mergeCell ref="I1:N4"/>
  </mergeCells>
  <printOptions horizontalCentered="1"/>
  <pageMargins left="0.5905511811023623" right="0.5905511811023623" top="0.35433070866141736" bottom="0.1968503937007874" header="0.15748031496062992" footer="0.25"/>
  <pageSetup blackAndWhite="1" horizontalDpi="600" verticalDpi="600" orientation="portrait" paperSize="9" r:id="rId3"/>
  <headerFooter alignWithMargins="0">
    <oddHeader>&amp;C&amp;"Arial,Regular"&amp;8printed on &amp;D</oddHeader>
    <oddFooter>&amp;C&amp;"Arial,Regular"&amp;8Firestone BOQ Lining Tool v2009.01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AG73"/>
  <sheetViews>
    <sheetView showGridLines="0" showRowColHeaders="0" zoomScalePageLayoutView="0" workbookViewId="0" topLeftCell="A1">
      <pane ySplit="4" topLeftCell="A8" activePane="bottomLeft" state="frozen"/>
      <selection pane="topLeft" activeCell="A1" sqref="A1"/>
      <selection pane="bottomLeft" activeCell="O34" sqref="O34"/>
    </sheetView>
  </sheetViews>
  <sheetFormatPr defaultColWidth="9.140625" defaultRowHeight="12.75"/>
  <cols>
    <col min="1" max="1" width="4.7109375" style="34" customWidth="1"/>
    <col min="2" max="2" width="16.8515625" style="34" customWidth="1"/>
    <col min="3" max="3" width="25.8515625" style="34" customWidth="1"/>
    <col min="4" max="4" width="19.28125" style="34" customWidth="1"/>
    <col min="5" max="5" width="10.421875" style="48" customWidth="1"/>
    <col min="6" max="6" width="5.7109375" style="30" customWidth="1"/>
    <col min="7" max="7" width="10.421875" style="49" customWidth="1"/>
    <col min="8" max="8" width="10.421875" style="49" hidden="1" customWidth="1"/>
    <col min="9" max="9" width="10.421875" style="28" customWidth="1" collapsed="1"/>
    <col min="10" max="10" width="7.00390625" style="34" customWidth="1"/>
    <col min="11" max="11" width="10.421875" style="37" customWidth="1"/>
    <col min="12" max="12" width="5.7109375" style="30" customWidth="1"/>
    <col min="13" max="13" width="10.421875" style="36" customWidth="1"/>
    <col min="14" max="14" width="10.421875" style="37" customWidth="1"/>
    <col min="15" max="15" width="10.421875" style="36" customWidth="1"/>
    <col min="16" max="16" width="12.7109375" style="36" customWidth="1"/>
    <col min="17" max="17" width="4.7109375" style="34" customWidth="1"/>
    <col min="18" max="18" width="14.00390625" style="34" customWidth="1"/>
    <col min="19" max="19" width="9.140625" style="34" customWidth="1"/>
    <col min="20" max="20" width="13.00390625" style="34" customWidth="1"/>
    <col min="21" max="26" width="9.140625" style="34" customWidth="1"/>
    <col min="27" max="27" width="10.140625" style="38" bestFit="1" customWidth="1"/>
    <col min="28" max="16384" width="9.140625" style="34" customWidth="1"/>
  </cols>
  <sheetData>
    <row r="2" spans="5:12" ht="12.75">
      <c r="E2" s="176" t="s">
        <v>247</v>
      </c>
      <c r="F2" s="176"/>
      <c r="G2" s="176"/>
      <c r="H2" s="176"/>
      <c r="I2" s="176"/>
      <c r="J2" s="176"/>
      <c r="K2" s="176"/>
      <c r="L2" s="176"/>
    </row>
    <row r="3" spans="5:12" ht="12.75">
      <c r="E3" s="176"/>
      <c r="F3" s="176"/>
      <c r="G3" s="176"/>
      <c r="H3" s="176"/>
      <c r="I3" s="176"/>
      <c r="J3" s="176"/>
      <c r="K3" s="176"/>
      <c r="L3" s="176"/>
    </row>
    <row r="4" spans="5:12" ht="12.75">
      <c r="E4" s="176"/>
      <c r="F4" s="176"/>
      <c r="G4" s="176"/>
      <c r="H4" s="176"/>
      <c r="I4" s="176"/>
      <c r="J4" s="176"/>
      <c r="K4" s="176"/>
      <c r="L4" s="176"/>
    </row>
    <row r="6" spans="2:16" ht="18">
      <c r="B6" s="74" t="s">
        <v>209</v>
      </c>
      <c r="C6" s="74"/>
      <c r="D6" s="39"/>
      <c r="E6" s="40"/>
      <c r="F6" s="41"/>
      <c r="G6" s="42"/>
      <c r="H6" s="42"/>
      <c r="I6" s="43"/>
      <c r="J6" s="39"/>
      <c r="K6" s="44"/>
      <c r="L6" s="41"/>
      <c r="M6" s="45"/>
      <c r="N6" s="44"/>
      <c r="O6" s="45"/>
      <c r="P6" s="45"/>
    </row>
    <row r="7" spans="2:16" ht="6.75" customHeight="1">
      <c r="B7" s="39"/>
      <c r="C7" s="39"/>
      <c r="D7" s="39"/>
      <c r="E7" s="40"/>
      <c r="F7" s="41"/>
      <c r="G7" s="42"/>
      <c r="H7" s="42"/>
      <c r="I7" s="43"/>
      <c r="J7" s="39"/>
      <c r="K7" s="44"/>
      <c r="L7" s="41"/>
      <c r="M7" s="45"/>
      <c r="N7" s="44"/>
      <c r="O7" s="45"/>
      <c r="P7" s="45"/>
    </row>
    <row r="8" spans="2:16" ht="12.75">
      <c r="B8" s="75" t="s">
        <v>236</v>
      </c>
      <c r="C8" s="75"/>
      <c r="D8" s="76"/>
      <c r="E8" s="77"/>
      <c r="F8" s="78"/>
      <c r="G8" s="79"/>
      <c r="H8" s="79"/>
      <c r="I8" s="80"/>
      <c r="J8" s="76"/>
      <c r="K8" s="81"/>
      <c r="L8" s="78"/>
      <c r="M8" s="82"/>
      <c r="N8" s="81"/>
      <c r="O8" s="82"/>
      <c r="P8" s="82"/>
    </row>
    <row r="9" spans="2:16" ht="12.75" hidden="1">
      <c r="B9" s="75"/>
      <c r="C9" s="75"/>
      <c r="D9" s="76"/>
      <c r="E9" s="77"/>
      <c r="F9" s="78"/>
      <c r="G9" s="79"/>
      <c r="H9" s="79"/>
      <c r="I9" s="80"/>
      <c r="J9" s="76"/>
      <c r="K9" s="81"/>
      <c r="L9" s="78"/>
      <c r="M9" s="82"/>
      <c r="N9" s="81"/>
      <c r="O9" s="82"/>
      <c r="P9" s="82"/>
    </row>
    <row r="10" spans="2:16" ht="12.75" hidden="1">
      <c r="B10" s="75"/>
      <c r="C10" s="75"/>
      <c r="D10" s="76"/>
      <c r="E10" s="77"/>
      <c r="F10" s="78"/>
      <c r="G10" s="79"/>
      <c r="H10" s="79"/>
      <c r="I10" s="80"/>
      <c r="J10" s="76"/>
      <c r="K10" s="81"/>
      <c r="L10" s="78"/>
      <c r="M10" s="82"/>
      <c r="N10" s="81"/>
      <c r="O10" s="82"/>
      <c r="P10" s="82"/>
    </row>
    <row r="11" spans="2:3" ht="12.75" hidden="1">
      <c r="B11" s="75"/>
      <c r="C11" s="75"/>
    </row>
    <row r="12" ht="6.75" customHeight="1" thickBot="1">
      <c r="C12" s="83"/>
    </row>
    <row r="13" spans="2:27" s="73" customFormat="1" ht="15.75" customHeight="1">
      <c r="B13" s="84" t="s">
        <v>250</v>
      </c>
      <c r="C13" s="85"/>
      <c r="D13" s="86"/>
      <c r="E13" s="87"/>
      <c r="F13" s="88"/>
      <c r="G13" s="89"/>
      <c r="H13" s="89"/>
      <c r="I13" s="90"/>
      <c r="J13" s="91"/>
      <c r="K13" s="92"/>
      <c r="L13" s="140"/>
      <c r="M13" s="102"/>
      <c r="N13" s="101"/>
      <c r="O13" s="102"/>
      <c r="P13" s="102"/>
      <c r="AA13" s="93"/>
    </row>
    <row r="14" spans="2:27" s="73" customFormat="1" ht="15.75" customHeight="1">
      <c r="B14" s="94" t="s">
        <v>194</v>
      </c>
      <c r="C14" s="95"/>
      <c r="D14" s="96"/>
      <c r="E14" s="64"/>
      <c r="F14" s="97"/>
      <c r="G14" s="98"/>
      <c r="H14" s="98"/>
      <c r="I14" s="99"/>
      <c r="J14" s="100"/>
      <c r="K14" s="101"/>
      <c r="L14" s="141"/>
      <c r="M14" s="102"/>
      <c r="N14" s="101"/>
      <c r="O14" s="102"/>
      <c r="P14" s="102"/>
      <c r="AA14" s="93"/>
    </row>
    <row r="15" spans="2:27" s="73" customFormat="1" ht="15.75" customHeight="1">
      <c r="B15" s="94" t="s">
        <v>195</v>
      </c>
      <c r="C15" s="103"/>
      <c r="D15" s="100"/>
      <c r="E15" s="64"/>
      <c r="F15" s="97"/>
      <c r="G15" s="98"/>
      <c r="H15" s="98"/>
      <c r="I15" s="99"/>
      <c r="J15" s="100"/>
      <c r="K15" s="101"/>
      <c r="L15" s="141"/>
      <c r="M15" s="102"/>
      <c r="N15" s="101"/>
      <c r="O15" s="102"/>
      <c r="P15" s="102"/>
      <c r="AA15" s="93"/>
    </row>
    <row r="16" spans="2:27" s="73" customFormat="1" ht="15.75" customHeight="1">
      <c r="B16" s="94"/>
      <c r="C16" s="104"/>
      <c r="D16" s="100"/>
      <c r="E16" s="64"/>
      <c r="F16" s="97"/>
      <c r="G16" s="98"/>
      <c r="H16" s="98"/>
      <c r="I16" s="99"/>
      <c r="J16" s="100"/>
      <c r="K16" s="101"/>
      <c r="L16" s="141"/>
      <c r="M16" s="102"/>
      <c r="N16" s="101"/>
      <c r="O16" s="102"/>
      <c r="P16" s="102"/>
      <c r="AA16" s="93"/>
    </row>
    <row r="17" spans="2:27" s="73" customFormat="1" ht="15.75" customHeight="1" thickBot="1">
      <c r="B17" s="105"/>
      <c r="C17" s="106"/>
      <c r="D17" s="107"/>
      <c r="E17" s="108"/>
      <c r="F17" s="109"/>
      <c r="G17" s="110"/>
      <c r="H17" s="110"/>
      <c r="I17" s="111"/>
      <c r="J17" s="107"/>
      <c r="K17" s="112"/>
      <c r="L17" s="142"/>
      <c r="M17" s="102"/>
      <c r="N17" s="101"/>
      <c r="O17" s="102"/>
      <c r="P17" s="102"/>
      <c r="AA17" s="93"/>
    </row>
    <row r="18" spans="1:27" s="73" customFormat="1" ht="3" customHeight="1">
      <c r="A18" s="100"/>
      <c r="B18" s="143"/>
      <c r="C18" s="104"/>
      <c r="D18" s="100"/>
      <c r="E18" s="64"/>
      <c r="F18" s="97"/>
      <c r="G18" s="98"/>
      <c r="H18" s="98"/>
      <c r="I18" s="99"/>
      <c r="J18" s="100"/>
      <c r="K18" s="101"/>
      <c r="L18" s="97"/>
      <c r="M18" s="102"/>
      <c r="N18" s="101"/>
      <c r="O18" s="102"/>
      <c r="AA18" s="93"/>
    </row>
    <row r="19" spans="1:15" ht="12.75">
      <c r="A19" s="144"/>
      <c r="B19" s="144"/>
      <c r="C19" s="145"/>
      <c r="D19" s="144"/>
      <c r="E19" s="60"/>
      <c r="F19" s="146"/>
      <c r="G19" s="102"/>
      <c r="H19" s="31"/>
      <c r="I19" s="147"/>
      <c r="J19" s="144"/>
      <c r="K19" s="148"/>
      <c r="L19" s="146"/>
      <c r="M19" s="149"/>
      <c r="N19" s="148"/>
      <c r="O19" s="149"/>
    </row>
    <row r="20" spans="2:16" s="38" customFormat="1" ht="12.75">
      <c r="B20" s="26"/>
      <c r="C20" s="38" t="s">
        <v>219</v>
      </c>
      <c r="D20" s="39"/>
      <c r="E20" s="40"/>
      <c r="F20" s="41"/>
      <c r="G20" s="42"/>
      <c r="H20" s="42"/>
      <c r="I20" s="43"/>
      <c r="J20" s="39"/>
      <c r="K20" s="44"/>
      <c r="L20" s="41"/>
      <c r="M20" s="45"/>
      <c r="N20" s="44"/>
      <c r="O20" s="45"/>
      <c r="P20" s="45"/>
    </row>
    <row r="21" spans="4:16" ht="12.75">
      <c r="D21" s="39"/>
      <c r="E21" s="40"/>
      <c r="F21" s="41"/>
      <c r="G21" s="42"/>
      <c r="H21" s="42"/>
      <c r="I21" s="43"/>
      <c r="J21" s="39"/>
      <c r="K21" s="44"/>
      <c r="L21" s="41"/>
      <c r="M21" s="45"/>
      <c r="N21" s="44"/>
      <c r="O21" s="45"/>
      <c r="P21" s="45"/>
    </row>
    <row r="22" spans="2:11" ht="12.75">
      <c r="B22" s="152" t="s">
        <v>252</v>
      </c>
      <c r="C22" s="46" t="s">
        <v>220</v>
      </c>
      <c r="D22" s="47"/>
      <c r="K22" s="167" t="s">
        <v>254</v>
      </c>
    </row>
    <row r="23" spans="2:27" ht="12.75">
      <c r="B23" s="153"/>
      <c r="C23" s="50" t="str">
        <f>Input!D22</f>
        <v>.040 (1.0 mm) PondGard</v>
      </c>
      <c r="D23" s="51"/>
      <c r="E23" s="52"/>
      <c r="I23" s="52"/>
      <c r="J23" s="30"/>
      <c r="K23" s="53">
        <f>SUM(K25:K32)</f>
        <v>0</v>
      </c>
      <c r="V23" s="38"/>
      <c r="AA23" s="34"/>
    </row>
    <row r="24" spans="2:17" s="30" customFormat="1" ht="22.5">
      <c r="B24" s="153"/>
      <c r="C24" s="164" t="s">
        <v>221</v>
      </c>
      <c r="D24" s="165" t="s">
        <v>222</v>
      </c>
      <c r="E24" s="166" t="s">
        <v>224</v>
      </c>
      <c r="F24" s="55"/>
      <c r="G24" s="137" t="s">
        <v>256</v>
      </c>
      <c r="H24" s="49"/>
      <c r="I24" s="166" t="s">
        <v>255</v>
      </c>
      <c r="K24" s="53"/>
      <c r="M24" s="56"/>
      <c r="N24" s="48"/>
      <c r="O24" s="56"/>
      <c r="P24" s="139"/>
      <c r="Q24" s="58"/>
    </row>
    <row r="25" spans="2:27" ht="15.75" customHeight="1" hidden="1">
      <c r="B25" s="152"/>
      <c r="C25" s="27" t="s">
        <v>49</v>
      </c>
      <c r="D25" s="28" t="str">
        <f>Input!$G$22</f>
        <v>100' (30.50m)</v>
      </c>
      <c r="E25" s="29">
        <f>IF('data&amp;calc'!$C$23=1,'data&amp;calc'!$B$68,0)</f>
        <v>0</v>
      </c>
      <c r="F25" s="30" t="s">
        <v>38</v>
      </c>
      <c r="G25" s="31">
        <f>IF('data&amp;calc'!$C$18=1,Output!$E25/(2.28*30.5*2),Output!$E25/(2.28*61*2))</f>
        <v>0</v>
      </c>
      <c r="H25" s="32">
        <f>ROUNDUP(G25,0)</f>
        <v>0</v>
      </c>
      <c r="I25" s="33">
        <v>0</v>
      </c>
      <c r="J25" s="34" t="s">
        <v>47</v>
      </c>
      <c r="K25" s="35">
        <f>IF('data&amp;calc'!$C$18=1,Output!$I25*(2.28*30.5*2),Output!$I25*(2.28*61*2))</f>
        <v>0</v>
      </c>
      <c r="L25" s="30" t="s">
        <v>38</v>
      </c>
      <c r="V25" s="38"/>
      <c r="AA25" s="34"/>
    </row>
    <row r="26" spans="2:27" ht="15.75" customHeight="1" hidden="1">
      <c r="B26" s="152"/>
      <c r="C26" s="27" t="s">
        <v>50</v>
      </c>
      <c r="D26" s="28" t="str">
        <f>Input!$G$22</f>
        <v>100' (30.50m)</v>
      </c>
      <c r="E26" s="29">
        <f>IF('data&amp;calc'!$C$23=2,'data&amp;calc'!$B$68,0)</f>
        <v>0</v>
      </c>
      <c r="F26" s="30" t="s">
        <v>38</v>
      </c>
      <c r="G26" s="31">
        <f>IF('data&amp;calc'!$C$18=1,Output!$E26/(3.05*30.5),Output!$E26/(3.05*61))</f>
        <v>0</v>
      </c>
      <c r="H26" s="32">
        <f aca="true" t="shared" si="0" ref="H26:H32">ROUNDUP(G26,0)</f>
        <v>0</v>
      </c>
      <c r="I26" s="33">
        <v>0</v>
      </c>
      <c r="J26" s="34" t="s">
        <v>47</v>
      </c>
      <c r="K26" s="35">
        <f>IF('data&amp;calc'!$C$18=1,Output!$I26*(3.05*30.5),Output!$I26*(3.05*61))</f>
        <v>0</v>
      </c>
      <c r="L26" s="30" t="s">
        <v>38</v>
      </c>
      <c r="V26" s="38"/>
      <c r="AA26" s="34"/>
    </row>
    <row r="27" spans="2:27" ht="15.75" customHeight="1" hidden="1">
      <c r="B27" s="152"/>
      <c r="C27" s="27" t="s">
        <v>56</v>
      </c>
      <c r="D27" s="28" t="str">
        <f>Input!$G$22</f>
        <v>100' (30.50m)</v>
      </c>
      <c r="E27" s="29">
        <f>IF('data&amp;calc'!$C$23=3,'data&amp;calc'!$B$68,0)</f>
        <v>0</v>
      </c>
      <c r="F27" s="30" t="s">
        <v>38</v>
      </c>
      <c r="G27" s="31">
        <f>IF('data&amp;calc'!$C$18=1,Output!$E27/(5.08*30.5),Output!$E27/(5.08*61))</f>
        <v>0</v>
      </c>
      <c r="H27" s="32">
        <f t="shared" si="0"/>
        <v>0</v>
      </c>
      <c r="I27" s="33">
        <v>0</v>
      </c>
      <c r="J27" s="34" t="s">
        <v>47</v>
      </c>
      <c r="K27" s="35">
        <f>IF('data&amp;calc'!$C$18=1,Output!$I27*(5.08*30.5),Output!$I27*(5.08*61))</f>
        <v>0</v>
      </c>
      <c r="L27" s="30" t="s">
        <v>38</v>
      </c>
      <c r="V27" s="38"/>
      <c r="AA27" s="34"/>
    </row>
    <row r="28" spans="2:27" ht="15.75" customHeight="1" hidden="1">
      <c r="B28" s="152"/>
      <c r="C28" s="27" t="s">
        <v>51</v>
      </c>
      <c r="D28" s="28" t="str">
        <f>Input!$G$22</f>
        <v>100' (30.50m)</v>
      </c>
      <c r="E28" s="29">
        <f>IF('data&amp;calc'!$C$23=4,'data&amp;calc'!$B$68,0)</f>
        <v>0</v>
      </c>
      <c r="F28" s="30" t="s">
        <v>38</v>
      </c>
      <c r="G28" s="31">
        <f>IF('data&amp;calc'!$C$18=1,Output!$E28/(6.1*30.5),Output!$E28/(6.1*61))</f>
        <v>0</v>
      </c>
      <c r="H28" s="32">
        <f t="shared" si="0"/>
        <v>0</v>
      </c>
      <c r="I28" s="33">
        <v>0</v>
      </c>
      <c r="J28" s="34" t="s">
        <v>47</v>
      </c>
      <c r="K28" s="35">
        <f>IF('data&amp;calc'!$C$18=1,Output!$I28*(6.1*30.5),Output!$I28*(6.1*61))</f>
        <v>0</v>
      </c>
      <c r="L28" s="30" t="s">
        <v>38</v>
      </c>
      <c r="V28" s="38"/>
      <c r="AA28" s="34"/>
    </row>
    <row r="29" spans="2:27" ht="15.75" customHeight="1" hidden="1">
      <c r="B29" s="152"/>
      <c r="C29" s="27" t="s">
        <v>55</v>
      </c>
      <c r="D29" s="28" t="str">
        <f>Input!$G$22</f>
        <v>100' (30.50m)</v>
      </c>
      <c r="E29" s="29">
        <f>IF('data&amp;calc'!$C$23=5,'data&amp;calc'!$B$68,0)</f>
        <v>0</v>
      </c>
      <c r="F29" s="30" t="s">
        <v>38</v>
      </c>
      <c r="G29" s="31">
        <f>IF('data&amp;calc'!$C$18=1,Output!$E29/(7.62*30.5),Output!$E29/(7.62*61))</f>
        <v>0</v>
      </c>
      <c r="H29" s="32">
        <f t="shared" si="0"/>
        <v>0</v>
      </c>
      <c r="I29" s="33">
        <v>0</v>
      </c>
      <c r="J29" s="34" t="s">
        <v>47</v>
      </c>
      <c r="K29" s="35">
        <f>IF('data&amp;calc'!$C$18=1,Output!$I29*(7.62*30.5),Output!$I29*(7.62*61))</f>
        <v>0</v>
      </c>
      <c r="L29" s="30" t="s">
        <v>38</v>
      </c>
      <c r="V29" s="38"/>
      <c r="AA29" s="34"/>
    </row>
    <row r="30" spans="2:27" ht="15.75" customHeight="1" hidden="1">
      <c r="B30" s="152"/>
      <c r="C30" s="27" t="s">
        <v>52</v>
      </c>
      <c r="D30" s="28" t="str">
        <f>Input!$G$22</f>
        <v>100' (30.50m)</v>
      </c>
      <c r="E30" s="29">
        <f>IF('data&amp;calc'!$C$23=6,'data&amp;calc'!$B$68,0)</f>
        <v>0</v>
      </c>
      <c r="F30" s="30" t="s">
        <v>38</v>
      </c>
      <c r="G30" s="31">
        <f>IF('data&amp;calc'!$C$18=1,Output!$E30/(9.15*30.5),Output!$E30/(9.15*61))</f>
        <v>0</v>
      </c>
      <c r="H30" s="32">
        <f t="shared" si="0"/>
        <v>0</v>
      </c>
      <c r="I30" s="33">
        <v>0</v>
      </c>
      <c r="J30" s="34" t="s">
        <v>228</v>
      </c>
      <c r="K30" s="35">
        <f>IF('data&amp;calc'!$C$18=1,Output!$I30*(9.15*30.5),Output!$I30*(9.15*61))</f>
        <v>0</v>
      </c>
      <c r="L30" s="30" t="s">
        <v>215</v>
      </c>
      <c r="V30" s="38"/>
      <c r="AA30" s="34"/>
    </row>
    <row r="31" spans="2:27" ht="15.75" customHeight="1" hidden="1">
      <c r="B31" s="152"/>
      <c r="C31" s="27" t="s">
        <v>53</v>
      </c>
      <c r="D31" s="28" t="str">
        <f>Input!$G$22</f>
        <v>100' (30.50m)</v>
      </c>
      <c r="E31" s="29">
        <f>IF('data&amp;calc'!$C$23=7,'data&amp;calc'!$B$68,0)</f>
        <v>0</v>
      </c>
      <c r="F31" s="30" t="s">
        <v>38</v>
      </c>
      <c r="G31" s="31">
        <f>IF('data&amp;calc'!$C$18=1,Output!$E31/(12.2*30.5),Output!$E31/(12.2*61))</f>
        <v>0</v>
      </c>
      <c r="H31" s="32">
        <f t="shared" si="0"/>
        <v>0</v>
      </c>
      <c r="I31" s="33">
        <v>0</v>
      </c>
      <c r="J31" s="34" t="s">
        <v>47</v>
      </c>
      <c r="K31" s="35">
        <f>IF('data&amp;calc'!$C$18=1,Output!$I31*(12.2*30.5),Output!$I31*(12.2*61))</f>
        <v>0</v>
      </c>
      <c r="L31" s="30" t="s">
        <v>38</v>
      </c>
      <c r="V31" s="38"/>
      <c r="AA31" s="34"/>
    </row>
    <row r="32" spans="2:27" ht="15.75" customHeight="1" hidden="1">
      <c r="B32" s="152"/>
      <c r="C32" s="27" t="s">
        <v>54</v>
      </c>
      <c r="D32" s="28" t="str">
        <f>Input!$G$22</f>
        <v>100' (30.50m)</v>
      </c>
      <c r="E32" s="155">
        <f>IF('data&amp;calc'!$C$23=8,'data&amp;calc'!$B$68,0)</f>
        <v>0</v>
      </c>
      <c r="F32" s="114" t="s">
        <v>38</v>
      </c>
      <c r="G32" s="31">
        <f>IF('data&amp;calc'!$C$18=1,Output!$E32/(15.25*30.5),Output!$E32/(15.25*61))</f>
        <v>0</v>
      </c>
      <c r="H32" s="32">
        <f t="shared" si="0"/>
        <v>0</v>
      </c>
      <c r="I32" s="161">
        <v>0</v>
      </c>
      <c r="J32" s="150" t="s">
        <v>246</v>
      </c>
      <c r="K32" s="159">
        <f>IF('data&amp;calc'!$C$18=1,Output!$I32*(15.25*30.5),Output!$I32*(15.25*61))</f>
        <v>0</v>
      </c>
      <c r="L32" s="123" t="s">
        <v>38</v>
      </c>
      <c r="V32" s="38"/>
      <c r="AA32" s="34"/>
    </row>
    <row r="33" spans="2:27" ht="15.75" customHeight="1">
      <c r="B33" s="154"/>
      <c r="C33" s="27"/>
      <c r="D33" s="28"/>
      <c r="E33" s="156"/>
      <c r="F33" s="114"/>
      <c r="G33" s="31"/>
      <c r="H33" s="31"/>
      <c r="I33" s="98"/>
      <c r="K33" s="159"/>
      <c r="L33" s="123"/>
      <c r="V33" s="38"/>
      <c r="AA33" s="34"/>
    </row>
    <row r="34" spans="2:27" ht="15.75" customHeight="1">
      <c r="B34" s="152" t="s">
        <v>253</v>
      </c>
      <c r="C34" s="59" t="s">
        <v>233</v>
      </c>
      <c r="D34" s="27"/>
      <c r="E34" s="157"/>
      <c r="F34" s="114"/>
      <c r="I34" s="162"/>
      <c r="K34" s="160"/>
      <c r="L34" s="123"/>
      <c r="V34" s="38"/>
      <c r="AA34" s="34"/>
    </row>
    <row r="35" spans="2:27" ht="15.75" customHeight="1" hidden="1">
      <c r="B35" s="152" t="str">
        <f>Catalog!A28</f>
        <v>W56RAC1603</v>
      </c>
      <c r="C35" s="61" t="s">
        <v>17</v>
      </c>
      <c r="E35" s="158">
        <f>Input!H56</f>
        <v>0</v>
      </c>
      <c r="F35" s="114" t="s">
        <v>231</v>
      </c>
      <c r="G35" s="49">
        <f>E35/30.5</f>
        <v>0</v>
      </c>
      <c r="H35" s="32">
        <f aca="true" t="shared" si="1" ref="H35:H43">ROUNDUP(G35,0)</f>
        <v>0</v>
      </c>
      <c r="I35" s="163">
        <v>0</v>
      </c>
      <c r="J35" s="34" t="s">
        <v>246</v>
      </c>
      <c r="K35" s="160">
        <f>I35*30.5</f>
        <v>0</v>
      </c>
      <c r="L35" s="123" t="s">
        <v>231</v>
      </c>
      <c r="V35" s="38"/>
      <c r="AA35" s="34"/>
    </row>
    <row r="36" spans="2:27" ht="15.75" customHeight="1" hidden="1">
      <c r="B36" s="152" t="str">
        <f>Catalog!A17</f>
        <v>W56RAC1650</v>
      </c>
      <c r="C36" s="61" t="s">
        <v>18</v>
      </c>
      <c r="E36" s="158">
        <f>'data&amp;calc'!B72</f>
        <v>0</v>
      </c>
      <c r="F36" s="114" t="s">
        <v>231</v>
      </c>
      <c r="G36" s="49">
        <f>E36/15.25</f>
        <v>0</v>
      </c>
      <c r="H36" s="32">
        <f t="shared" si="1"/>
        <v>0</v>
      </c>
      <c r="I36" s="163">
        <v>0</v>
      </c>
      <c r="J36" s="34" t="s">
        <v>246</v>
      </c>
      <c r="K36" s="160">
        <f>I36*15.25</f>
        <v>0</v>
      </c>
      <c r="L36" s="123" t="s">
        <v>231</v>
      </c>
      <c r="V36" s="38"/>
      <c r="AA36" s="34"/>
    </row>
    <row r="37" spans="2:27" ht="15.75" customHeight="1" hidden="1">
      <c r="B37" s="152" t="str">
        <f>Catalog!A18</f>
        <v>W56RAC1653</v>
      </c>
      <c r="C37" s="61" t="s">
        <v>19</v>
      </c>
      <c r="E37" s="158">
        <f>'data&amp;calc'!E107</f>
        <v>0</v>
      </c>
      <c r="F37" s="114" t="s">
        <v>231</v>
      </c>
      <c r="G37" s="49">
        <f>E37/15.25</f>
        <v>0</v>
      </c>
      <c r="H37" s="32">
        <f t="shared" si="1"/>
        <v>0</v>
      </c>
      <c r="I37" s="163">
        <v>0</v>
      </c>
      <c r="J37" s="34" t="s">
        <v>228</v>
      </c>
      <c r="K37" s="160">
        <f>I37*15.25</f>
        <v>0</v>
      </c>
      <c r="L37" s="123" t="s">
        <v>231</v>
      </c>
      <c r="V37" s="38"/>
      <c r="AA37" s="34"/>
    </row>
    <row r="38" spans="2:27" ht="15.75" customHeight="1" hidden="1">
      <c r="B38" s="152" t="str">
        <f>Catalog!A21</f>
        <v>W563587041</v>
      </c>
      <c r="C38" s="61" t="s">
        <v>86</v>
      </c>
      <c r="E38" s="158">
        <f>IF('data&amp;calc'!$C$111=FALSE,'data&amp;calc'!$G$86,0)</f>
        <v>0</v>
      </c>
      <c r="F38" s="157" t="s">
        <v>232</v>
      </c>
      <c r="G38" s="49">
        <f>$E$38</f>
        <v>0</v>
      </c>
      <c r="H38" s="32">
        <f t="shared" si="1"/>
        <v>0</v>
      </c>
      <c r="I38" s="163">
        <v>0</v>
      </c>
      <c r="J38" s="34" t="s">
        <v>249</v>
      </c>
      <c r="K38" s="160">
        <f>I38</f>
        <v>0</v>
      </c>
      <c r="L38" s="123" t="s">
        <v>232</v>
      </c>
      <c r="V38" s="38"/>
      <c r="AA38" s="34"/>
    </row>
    <row r="39" spans="2:27" ht="15.75" customHeight="1" hidden="1">
      <c r="B39" s="152" t="str">
        <f>Catalog!A22</f>
        <v>W563587044</v>
      </c>
      <c r="C39" s="61" t="s">
        <v>87</v>
      </c>
      <c r="E39" s="158">
        <f>IF('data&amp;calc'!$C$111=TRUE,'data&amp;calc'!$G$86,0)</f>
        <v>0</v>
      </c>
      <c r="F39" s="114" t="s">
        <v>232</v>
      </c>
      <c r="G39" s="49">
        <f>$E$39/3</f>
        <v>0</v>
      </c>
      <c r="H39" s="32">
        <f t="shared" si="1"/>
        <v>0</v>
      </c>
      <c r="I39" s="163">
        <v>0</v>
      </c>
      <c r="J39" s="34" t="s">
        <v>229</v>
      </c>
      <c r="K39" s="160">
        <f>I39*3</f>
        <v>0</v>
      </c>
      <c r="L39" s="123" t="s">
        <v>232</v>
      </c>
      <c r="V39" s="38"/>
      <c r="AA39" s="34"/>
    </row>
    <row r="40" spans="2:27" ht="15.75" customHeight="1" hidden="1">
      <c r="B40" s="152" t="str">
        <f>Catalog!A30</f>
        <v>W56358703E</v>
      </c>
      <c r="C40" s="61" t="s">
        <v>20</v>
      </c>
      <c r="E40" s="158">
        <f>'data&amp;calc'!F95</f>
        <v>0</v>
      </c>
      <c r="F40" s="114" t="s">
        <v>248</v>
      </c>
      <c r="G40" s="49">
        <f>E40</f>
        <v>0</v>
      </c>
      <c r="H40" s="32">
        <f t="shared" si="1"/>
        <v>0</v>
      </c>
      <c r="I40" s="163">
        <v>0</v>
      </c>
      <c r="J40" s="34" t="s">
        <v>248</v>
      </c>
      <c r="K40" s="160">
        <f>I40</f>
        <v>0</v>
      </c>
      <c r="L40" s="123" t="s">
        <v>248</v>
      </c>
      <c r="V40" s="38"/>
      <c r="AA40" s="34"/>
    </row>
    <row r="41" spans="2:27" ht="15.75" customHeight="1" hidden="1">
      <c r="B41" s="26" t="str">
        <f>Catalog!A31</f>
        <v>W563587071</v>
      </c>
      <c r="C41" s="61" t="s">
        <v>101</v>
      </c>
      <c r="E41" s="62">
        <f>'data&amp;calc'!F100</f>
        <v>0</v>
      </c>
      <c r="F41" s="30" t="s">
        <v>230</v>
      </c>
      <c r="G41" s="49">
        <f>E41</f>
        <v>0</v>
      </c>
      <c r="H41" s="32">
        <f t="shared" si="1"/>
        <v>0</v>
      </c>
      <c r="I41" s="63">
        <v>0</v>
      </c>
      <c r="J41" s="34" t="s">
        <v>230</v>
      </c>
      <c r="K41" s="37">
        <f>I41</f>
        <v>0</v>
      </c>
      <c r="L41" s="30" t="s">
        <v>230</v>
      </c>
      <c r="V41" s="38"/>
      <c r="AA41" s="34"/>
    </row>
    <row r="42" spans="2:27" ht="15.75" customHeight="1" hidden="1">
      <c r="B42" s="26" t="str">
        <f>Catalog!A32</f>
        <v>W56RAC3061</v>
      </c>
      <c r="C42" s="61" t="s">
        <v>239</v>
      </c>
      <c r="E42" s="62">
        <f>Input!$H$52</f>
        <v>0</v>
      </c>
      <c r="F42" s="30" t="s">
        <v>231</v>
      </c>
      <c r="G42" s="49">
        <f>E42/152.4</f>
        <v>0</v>
      </c>
      <c r="H42" s="32">
        <f t="shared" si="1"/>
        <v>0</v>
      </c>
      <c r="I42" s="63">
        <v>0</v>
      </c>
      <c r="J42" s="34" t="s">
        <v>231</v>
      </c>
      <c r="K42" s="37">
        <f>I42*152.4</f>
        <v>0</v>
      </c>
      <c r="L42" s="30" t="s">
        <v>231</v>
      </c>
      <c r="V42" s="38"/>
      <c r="AA42" s="34"/>
    </row>
    <row r="43" spans="2:27" ht="15.75" customHeight="1" hidden="1">
      <c r="B43" s="26"/>
      <c r="C43" s="61" t="s">
        <v>240</v>
      </c>
      <c r="E43" s="62">
        <f>E42*5</f>
        <v>0</v>
      </c>
      <c r="F43" s="30" t="s">
        <v>216</v>
      </c>
      <c r="G43" s="49">
        <f>E43</f>
        <v>0</v>
      </c>
      <c r="H43" s="32">
        <f t="shared" si="1"/>
        <v>0</v>
      </c>
      <c r="I43" s="63">
        <v>0</v>
      </c>
      <c r="J43" s="34" t="s">
        <v>216</v>
      </c>
      <c r="K43" s="36"/>
      <c r="L43" s="36"/>
      <c r="N43" s="36"/>
      <c r="V43" s="38"/>
      <c r="AA43" s="34"/>
    </row>
    <row r="44" spans="2:27" ht="15.75" customHeight="1">
      <c r="B44" s="26"/>
      <c r="C44" s="61"/>
      <c r="E44" s="60"/>
      <c r="I44" s="60"/>
      <c r="K44" s="36"/>
      <c r="L44" s="36"/>
      <c r="N44" s="36"/>
      <c r="V44" s="38"/>
      <c r="AA44" s="34"/>
    </row>
    <row r="45" spans="2:27" ht="12.75" hidden="1">
      <c r="B45" s="26" t="s">
        <v>237</v>
      </c>
      <c r="C45" s="59" t="s">
        <v>238</v>
      </c>
      <c r="D45" s="27"/>
      <c r="E45" s="60"/>
      <c r="I45" s="54"/>
      <c r="M45" s="56"/>
      <c r="N45" s="48"/>
      <c r="O45" s="56"/>
      <c r="P45" s="57"/>
      <c r="V45" s="38"/>
      <c r="AA45" s="34"/>
    </row>
    <row r="46" spans="2:27" ht="15.75" customHeight="1" hidden="1">
      <c r="B46" s="26" t="str">
        <f>Catalog!A29</f>
        <v>W56RAC1626</v>
      </c>
      <c r="C46" s="61" t="s">
        <v>16</v>
      </c>
      <c r="E46" s="34"/>
      <c r="F46" s="34"/>
      <c r="G46" s="34"/>
      <c r="H46" s="34"/>
      <c r="I46" s="63"/>
      <c r="J46" s="34" t="s">
        <v>228</v>
      </c>
      <c r="K46" s="37">
        <f>I46*30.5</f>
        <v>0</v>
      </c>
      <c r="L46" s="30" t="s">
        <v>231</v>
      </c>
      <c r="V46" s="38"/>
      <c r="AA46" s="34"/>
    </row>
    <row r="47" spans="2:27" ht="15.75" customHeight="1" hidden="1">
      <c r="B47" s="26" t="str">
        <f>Catalog!A19</f>
        <v>W56RAC1620</v>
      </c>
      <c r="C47" s="61" t="s">
        <v>37</v>
      </c>
      <c r="E47" s="34"/>
      <c r="F47" s="34"/>
      <c r="G47" s="34"/>
      <c r="H47" s="34"/>
      <c r="I47" s="63"/>
      <c r="J47" s="34" t="s">
        <v>228</v>
      </c>
      <c r="K47" s="37">
        <f>I47*15.25</f>
        <v>0</v>
      </c>
      <c r="L47" s="30" t="s">
        <v>231</v>
      </c>
      <c r="V47" s="38"/>
      <c r="AA47" s="34"/>
    </row>
    <row r="48" spans="2:27" ht="15.75" customHeight="1" hidden="1">
      <c r="B48" s="26" t="str">
        <f>Catalog!A20</f>
        <v>W563587066</v>
      </c>
      <c r="C48" s="61" t="s">
        <v>14</v>
      </c>
      <c r="E48" s="49"/>
      <c r="F48" s="49"/>
      <c r="I48" s="63"/>
      <c r="J48" s="34" t="s">
        <v>229</v>
      </c>
      <c r="K48" s="37">
        <f>I48*5</f>
        <v>0</v>
      </c>
      <c r="L48" s="30" t="s">
        <v>232</v>
      </c>
      <c r="V48" s="38"/>
      <c r="AA48" s="34"/>
    </row>
    <row r="49" spans="2:27" ht="15.75" customHeight="1" hidden="1">
      <c r="B49" s="26" t="str">
        <f>Catalog!A23</f>
        <v>W563587052</v>
      </c>
      <c r="C49" s="61" t="s">
        <v>185</v>
      </c>
      <c r="E49" s="49"/>
      <c r="F49" s="49"/>
      <c r="I49" s="63"/>
      <c r="J49" s="34" t="s">
        <v>229</v>
      </c>
      <c r="K49" s="37">
        <f>I49*5</f>
        <v>0</v>
      </c>
      <c r="L49" s="30" t="s">
        <v>232</v>
      </c>
      <c r="V49" s="38"/>
      <c r="AA49" s="34"/>
    </row>
    <row r="50" spans="2:27" ht="15.75" customHeight="1" hidden="1">
      <c r="B50" s="26" t="str">
        <f>Catalog!A24</f>
        <v>W563587051E</v>
      </c>
      <c r="C50" s="61" t="s">
        <v>191</v>
      </c>
      <c r="E50" s="49"/>
      <c r="F50" s="49"/>
      <c r="I50" s="63"/>
      <c r="J50" s="34" t="s">
        <v>229</v>
      </c>
      <c r="K50" s="37">
        <f>I50*10</f>
        <v>0</v>
      </c>
      <c r="L50" s="30" t="s">
        <v>241</v>
      </c>
      <c r="V50" s="38"/>
      <c r="AA50" s="34"/>
    </row>
    <row r="51" spans="2:27" ht="15.75" customHeight="1" hidden="1">
      <c r="B51" s="26" t="str">
        <f>Catalog!A25</f>
        <v>W563587099</v>
      </c>
      <c r="C51" s="61" t="s">
        <v>15</v>
      </c>
      <c r="E51" s="49"/>
      <c r="F51" s="49"/>
      <c r="I51" s="63"/>
      <c r="J51" s="34" t="s">
        <v>242</v>
      </c>
      <c r="K51" s="37">
        <f>I51</f>
        <v>0</v>
      </c>
      <c r="L51" s="30" t="s">
        <v>242</v>
      </c>
      <c r="V51" s="38"/>
      <c r="AA51" s="34"/>
    </row>
    <row r="52" spans="2:27" ht="15.75" customHeight="1">
      <c r="B52" s="26"/>
      <c r="C52" s="61"/>
      <c r="E52" s="49"/>
      <c r="F52" s="49"/>
      <c r="I52" s="49"/>
      <c r="V52" s="38"/>
      <c r="AA52" s="34"/>
    </row>
    <row r="53" spans="2:27" ht="22.5" hidden="1">
      <c r="B53" s="26" t="s">
        <v>170</v>
      </c>
      <c r="C53" s="38" t="s">
        <v>77</v>
      </c>
      <c r="D53" s="27"/>
      <c r="E53" s="49"/>
      <c r="F53" s="49"/>
      <c r="I53" s="54"/>
      <c r="M53" s="56" t="s">
        <v>12</v>
      </c>
      <c r="N53" s="48" t="s">
        <v>48</v>
      </c>
      <c r="O53" s="56" t="s">
        <v>116</v>
      </c>
      <c r="P53" s="57" t="s">
        <v>13</v>
      </c>
      <c r="V53" s="38"/>
      <c r="AA53" s="34"/>
    </row>
    <row r="54" spans="2:27" ht="15.75" customHeight="1" hidden="1">
      <c r="B54" s="26" t="str">
        <f>Catalog!A34</f>
        <v>W563582040</v>
      </c>
      <c r="C54" s="61" t="s">
        <v>21</v>
      </c>
      <c r="E54" s="49"/>
      <c r="F54" s="49"/>
      <c r="I54" s="63"/>
      <c r="J54" s="34" t="s">
        <v>143</v>
      </c>
      <c r="K54" s="37">
        <f>I54*12</f>
        <v>0</v>
      </c>
      <c r="L54" s="30" t="s">
        <v>117</v>
      </c>
      <c r="M54" s="36" t="e">
        <f>Catalog!#REF!</f>
        <v>#REF!</v>
      </c>
      <c r="N54" s="37">
        <v>0</v>
      </c>
      <c r="O54" s="36" t="e">
        <f aca="true" t="shared" si="2" ref="O54:O59">M54-M54*N54/100</f>
        <v>#REF!</v>
      </c>
      <c r="P54" s="36" t="e">
        <f aca="true" t="shared" si="3" ref="P54:P59">O54*K54</f>
        <v>#REF!</v>
      </c>
      <c r="V54" s="38"/>
      <c r="AA54" s="34"/>
    </row>
    <row r="55" spans="2:27" ht="15.75" customHeight="1" hidden="1">
      <c r="B55" s="26" t="str">
        <f>Catalog!A35</f>
        <v>W563582056</v>
      </c>
      <c r="C55" s="61" t="s">
        <v>172</v>
      </c>
      <c r="E55" s="49"/>
      <c r="F55" s="49"/>
      <c r="I55" s="63"/>
      <c r="J55" s="34" t="s">
        <v>143</v>
      </c>
      <c r="K55" s="37">
        <f>I55*40</f>
        <v>0</v>
      </c>
      <c r="L55" s="30" t="s">
        <v>117</v>
      </c>
      <c r="M55" s="36" t="e">
        <f>Catalog!#REF!</f>
        <v>#REF!</v>
      </c>
      <c r="N55" s="37">
        <v>0</v>
      </c>
      <c r="O55" s="36" t="e">
        <f t="shared" si="2"/>
        <v>#REF!</v>
      </c>
      <c r="P55" s="36" t="e">
        <f t="shared" si="3"/>
        <v>#REF!</v>
      </c>
      <c r="V55" s="38"/>
      <c r="AA55" s="34"/>
    </row>
    <row r="56" spans="2:27" ht="15.75" customHeight="1" hidden="1">
      <c r="B56" s="26" t="str">
        <f>Catalog!A36</f>
        <v>W563582057</v>
      </c>
      <c r="C56" s="61" t="s">
        <v>173</v>
      </c>
      <c r="E56" s="49"/>
      <c r="F56" s="49"/>
      <c r="I56" s="63"/>
      <c r="J56" s="34" t="s">
        <v>143</v>
      </c>
      <c r="K56" s="37">
        <f>I56*100</f>
        <v>0</v>
      </c>
      <c r="L56" s="30" t="s">
        <v>117</v>
      </c>
      <c r="M56" s="36" t="e">
        <f>Catalog!#REF!</f>
        <v>#REF!</v>
      </c>
      <c r="N56" s="37">
        <v>0</v>
      </c>
      <c r="O56" s="36" t="e">
        <f t="shared" si="2"/>
        <v>#REF!</v>
      </c>
      <c r="P56" s="36" t="e">
        <f t="shared" si="3"/>
        <v>#REF!</v>
      </c>
      <c r="V56" s="38"/>
      <c r="AA56" s="34"/>
    </row>
    <row r="57" spans="2:27" ht="15.75" customHeight="1" hidden="1">
      <c r="B57" s="26" t="str">
        <f>Catalog!A37</f>
        <v>W563582045</v>
      </c>
      <c r="C57" s="61" t="s">
        <v>22</v>
      </c>
      <c r="E57" s="49"/>
      <c r="F57" s="49"/>
      <c r="I57" s="63"/>
      <c r="J57" s="34" t="s">
        <v>143</v>
      </c>
      <c r="K57" s="37">
        <f>I57</f>
        <v>0</v>
      </c>
      <c r="L57" s="30" t="s">
        <v>143</v>
      </c>
      <c r="M57" s="36" t="e">
        <f>Catalog!#REF!</f>
        <v>#REF!</v>
      </c>
      <c r="N57" s="37">
        <v>0</v>
      </c>
      <c r="O57" s="36" t="e">
        <f t="shared" si="2"/>
        <v>#REF!</v>
      </c>
      <c r="P57" s="36" t="e">
        <f t="shared" si="3"/>
        <v>#REF!</v>
      </c>
      <c r="V57" s="38"/>
      <c r="AA57" s="34"/>
    </row>
    <row r="58" spans="2:27" ht="15.75" customHeight="1" hidden="1">
      <c r="B58" s="26" t="str">
        <f>Catalog!A39</f>
        <v>W563582023</v>
      </c>
      <c r="C58" s="61" t="s">
        <v>23</v>
      </c>
      <c r="E58" s="49"/>
      <c r="F58" s="49"/>
      <c r="I58" s="63"/>
      <c r="J58" s="34" t="s">
        <v>143</v>
      </c>
      <c r="K58" s="37">
        <f>I58*6</f>
        <v>0</v>
      </c>
      <c r="L58" s="30" t="s">
        <v>117</v>
      </c>
      <c r="M58" s="36" t="e">
        <f>Catalog!#REF!</f>
        <v>#REF!</v>
      </c>
      <c r="N58" s="37">
        <v>0</v>
      </c>
      <c r="O58" s="36" t="e">
        <f t="shared" si="2"/>
        <v>#REF!</v>
      </c>
      <c r="P58" s="36" t="e">
        <f t="shared" si="3"/>
        <v>#REF!</v>
      </c>
      <c r="V58" s="38"/>
      <c r="AA58" s="34"/>
    </row>
    <row r="59" spans="2:27" ht="15.75" customHeight="1" hidden="1">
      <c r="B59" s="26" t="str">
        <f>Catalog!A42</f>
        <v>W563582042</v>
      </c>
      <c r="C59" s="61" t="s">
        <v>25</v>
      </c>
      <c r="E59" s="49"/>
      <c r="F59" s="49"/>
      <c r="I59" s="63"/>
      <c r="J59" s="34" t="s">
        <v>143</v>
      </c>
      <c r="K59" s="37">
        <f>I59*96</f>
        <v>0</v>
      </c>
      <c r="L59" s="30" t="s">
        <v>117</v>
      </c>
      <c r="M59" s="36" t="e">
        <f>Catalog!#REF!</f>
        <v>#REF!</v>
      </c>
      <c r="N59" s="37">
        <v>0</v>
      </c>
      <c r="O59" s="36" t="e">
        <f t="shared" si="2"/>
        <v>#REF!</v>
      </c>
      <c r="P59" s="36" t="e">
        <f t="shared" si="3"/>
        <v>#REF!</v>
      </c>
      <c r="V59" s="38"/>
      <c r="AA59" s="34"/>
    </row>
    <row r="60" spans="2:28" ht="12.75">
      <c r="B60" s="34" t="s">
        <v>245</v>
      </c>
      <c r="R60" s="27"/>
      <c r="AA60" s="34"/>
      <c r="AB60" s="38"/>
    </row>
    <row r="61" ht="12.75">
      <c r="Q61" s="27"/>
    </row>
    <row r="62" spans="2:33" s="73" customFormat="1" ht="15.75" customHeight="1">
      <c r="B62" s="65"/>
      <c r="C62" s="66"/>
      <c r="D62" s="66"/>
      <c r="E62" s="67"/>
      <c r="F62" s="68"/>
      <c r="G62" s="69"/>
      <c r="H62" s="69"/>
      <c r="I62" s="70"/>
      <c r="J62" s="66"/>
      <c r="K62" s="71"/>
      <c r="L62" s="70"/>
      <c r="M62" s="36"/>
      <c r="N62" s="37"/>
      <c r="O62" s="36"/>
      <c r="P62" s="36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</row>
    <row r="63" ht="12.75">
      <c r="Q63" s="27"/>
    </row>
    <row r="64" ht="12.75">
      <c r="Q64" s="27"/>
    </row>
    <row r="65" ht="12.75">
      <c r="Q65" s="27"/>
    </row>
    <row r="66" ht="12.75">
      <c r="Q66" s="27"/>
    </row>
    <row r="67" ht="12.75">
      <c r="Q67" s="27"/>
    </row>
    <row r="68" ht="12.75">
      <c r="Q68" s="27"/>
    </row>
    <row r="69" ht="12.75">
      <c r="Q69" s="27"/>
    </row>
    <row r="70" ht="12.75">
      <c r="Q70" s="27"/>
    </row>
    <row r="71" ht="12.75">
      <c r="Q71" s="27"/>
    </row>
    <row r="72" ht="12.75">
      <c r="Q72" s="27"/>
    </row>
    <row r="73" ht="12.75">
      <c r="Q73" s="27"/>
    </row>
  </sheetData>
  <sheetProtection password="C77D" sheet="1" formatCells="0" formatColumns="0" formatRows="0" pivotTables="0"/>
  <mergeCells count="1">
    <mergeCell ref="E2:L4"/>
  </mergeCells>
  <printOptions horizontalCentered="1"/>
  <pageMargins left="0.7874015748031497" right="0.7874015748031497" top="0.7086614173228347" bottom="0.7480314960629921" header="0.5118110236220472" footer="0.5118110236220472"/>
  <pageSetup blackAndWhite="1" horizontalDpi="600" verticalDpi="600" orientation="landscape" paperSize="9" scale="80" r:id="rId2"/>
  <headerFooter alignWithMargins="0">
    <oddHeader>&amp;C&amp;"Arial,Regular"&amp;8printed on &amp;D</oddHeader>
    <oddFooter>&amp;C&amp;"Arial,Regular"&amp;8Firestone BO Lining Tool v2009.01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6:C42"/>
  <sheetViews>
    <sheetView showRowColHeaders="0" zoomScalePageLayoutView="0" workbookViewId="0" topLeftCell="A1">
      <pane ySplit="4" topLeftCell="A17" activePane="bottomLeft" state="frozen"/>
      <selection pane="topLeft" activeCell="A1" sqref="A1"/>
      <selection pane="bottomLeft" activeCell="F19" sqref="F19"/>
    </sheetView>
  </sheetViews>
  <sheetFormatPr defaultColWidth="9.140625" defaultRowHeight="15" customHeight="1"/>
  <cols>
    <col min="1" max="1" width="11.00390625" style="55" bestFit="1" customWidth="1"/>
    <col min="2" max="2" width="45.57421875" style="34" customWidth="1"/>
    <col min="3" max="3" width="9.140625" style="131" customWidth="1"/>
    <col min="4" max="16384" width="9.140625" style="34" customWidth="1"/>
  </cols>
  <sheetData>
    <row r="6" ht="18">
      <c r="B6" s="134" t="s">
        <v>235</v>
      </c>
    </row>
    <row r="8" spans="1:3" s="30" customFormat="1" ht="15" customHeight="1">
      <c r="A8" s="34"/>
      <c r="B8" s="34"/>
      <c r="C8" s="132"/>
    </row>
    <row r="9" spans="1:3" s="30" customFormat="1" ht="15" customHeight="1">
      <c r="A9" s="34" t="s">
        <v>245</v>
      </c>
      <c r="B9" s="34"/>
      <c r="C9" s="132"/>
    </row>
    <row r="10" ht="15" customHeight="1">
      <c r="A10" s="34"/>
    </row>
    <row r="11" spans="1:3" s="30" customFormat="1" ht="15" customHeight="1">
      <c r="A11" s="55" t="s">
        <v>171</v>
      </c>
      <c r="B11" s="30" t="s">
        <v>243</v>
      </c>
      <c r="C11" s="133" t="s">
        <v>244</v>
      </c>
    </row>
    <row r="12" spans="1:3" s="30" customFormat="1" ht="15" customHeight="1">
      <c r="A12" s="55"/>
      <c r="B12" s="38" t="s">
        <v>227</v>
      </c>
      <c r="C12" s="133"/>
    </row>
    <row r="13" spans="2:3" ht="15" customHeight="1">
      <c r="B13" s="34" t="s">
        <v>182</v>
      </c>
      <c r="C13" s="131" t="s">
        <v>0</v>
      </c>
    </row>
    <row r="14" spans="2:3" ht="15" customHeight="1">
      <c r="B14" s="34" t="s">
        <v>183</v>
      </c>
      <c r="C14" s="131" t="s">
        <v>0</v>
      </c>
    </row>
    <row r="15" spans="2:3" ht="15" customHeight="1">
      <c r="B15" s="34" t="s">
        <v>184</v>
      </c>
      <c r="C15" s="131" t="s">
        <v>0</v>
      </c>
    </row>
    <row r="16" spans="1:3" s="30" customFormat="1" ht="15" customHeight="1">
      <c r="A16" s="55"/>
      <c r="B16" s="138" t="s">
        <v>225</v>
      </c>
      <c r="C16" s="133"/>
    </row>
    <row r="17" spans="1:3" ht="15" customHeight="1">
      <c r="A17" s="55" t="s">
        <v>79</v>
      </c>
      <c r="B17" s="34" t="s">
        <v>78</v>
      </c>
      <c r="C17" s="131" t="s">
        <v>1</v>
      </c>
    </row>
    <row r="18" spans="1:3" ht="15" customHeight="1">
      <c r="A18" s="55" t="s">
        <v>81</v>
      </c>
      <c r="B18" s="34" t="s">
        <v>80</v>
      </c>
      <c r="C18" s="131" t="s">
        <v>1</v>
      </c>
    </row>
    <row r="19" spans="1:3" ht="15" customHeight="1">
      <c r="A19" s="55" t="s">
        <v>83</v>
      </c>
      <c r="B19" s="34" t="s">
        <v>82</v>
      </c>
      <c r="C19" s="131" t="s">
        <v>1</v>
      </c>
    </row>
    <row r="20" spans="1:3" ht="15" customHeight="1">
      <c r="A20" s="55" t="s">
        <v>84</v>
      </c>
      <c r="B20" s="34" t="s">
        <v>14</v>
      </c>
      <c r="C20" s="131" t="s">
        <v>85</v>
      </c>
    </row>
    <row r="21" spans="1:3" ht="15" customHeight="1">
      <c r="A21" s="55" t="s">
        <v>89</v>
      </c>
      <c r="B21" s="34" t="s">
        <v>86</v>
      </c>
      <c r="C21" s="131" t="s">
        <v>85</v>
      </c>
    </row>
    <row r="22" spans="1:3" ht="15" customHeight="1">
      <c r="A22" s="55" t="s">
        <v>88</v>
      </c>
      <c r="B22" s="34" t="s">
        <v>87</v>
      </c>
      <c r="C22" s="131" t="s">
        <v>85</v>
      </c>
    </row>
    <row r="23" spans="1:3" ht="15" customHeight="1">
      <c r="A23" s="55" t="s">
        <v>186</v>
      </c>
      <c r="B23" s="34" t="s">
        <v>185</v>
      </c>
      <c r="C23" s="131" t="s">
        <v>85</v>
      </c>
    </row>
    <row r="24" spans="1:3" ht="15" customHeight="1">
      <c r="A24" s="55" t="s">
        <v>192</v>
      </c>
      <c r="B24" s="34" t="s">
        <v>191</v>
      </c>
      <c r="C24" s="131" t="s">
        <v>193</v>
      </c>
    </row>
    <row r="25" spans="1:3" ht="15" customHeight="1">
      <c r="A25" s="55" t="s">
        <v>90</v>
      </c>
      <c r="B25" s="34" t="s">
        <v>15</v>
      </c>
      <c r="C25" s="131" t="s">
        <v>29</v>
      </c>
    </row>
    <row r="26" spans="1:3" ht="15" customHeight="1" hidden="1">
      <c r="A26" s="55" t="s">
        <v>91</v>
      </c>
      <c r="B26" s="34" t="s">
        <v>93</v>
      </c>
      <c r="C26" s="131" t="s">
        <v>85</v>
      </c>
    </row>
    <row r="27" spans="1:3" ht="15" customHeight="1" hidden="1">
      <c r="A27" s="55" t="s">
        <v>92</v>
      </c>
      <c r="B27" s="34" t="s">
        <v>94</v>
      </c>
      <c r="C27" s="131" t="s">
        <v>85</v>
      </c>
    </row>
    <row r="28" spans="1:3" ht="15" customHeight="1">
      <c r="A28" s="55" t="s">
        <v>96</v>
      </c>
      <c r="B28" s="34" t="s">
        <v>95</v>
      </c>
      <c r="C28" s="131" t="s">
        <v>1</v>
      </c>
    </row>
    <row r="29" spans="1:3" ht="15" customHeight="1">
      <c r="A29" s="55" t="s">
        <v>98</v>
      </c>
      <c r="B29" s="34" t="s">
        <v>97</v>
      </c>
      <c r="C29" s="131" t="s">
        <v>1</v>
      </c>
    </row>
    <row r="30" spans="1:3" ht="15" customHeight="1">
      <c r="A30" s="55" t="s">
        <v>100</v>
      </c>
      <c r="B30" s="34" t="s">
        <v>20</v>
      </c>
      <c r="C30" s="131" t="s">
        <v>99</v>
      </c>
    </row>
    <row r="31" spans="1:3" ht="15" customHeight="1">
      <c r="A31" s="55" t="s">
        <v>102</v>
      </c>
      <c r="B31" s="34" t="s">
        <v>101</v>
      </c>
      <c r="C31" s="131" t="s">
        <v>99</v>
      </c>
    </row>
    <row r="32" spans="1:3" ht="15" customHeight="1">
      <c r="A32" s="55" t="s">
        <v>104</v>
      </c>
      <c r="B32" s="34" t="s">
        <v>103</v>
      </c>
      <c r="C32" s="131" t="s">
        <v>1</v>
      </c>
    </row>
    <row r="33" spans="1:3" s="30" customFormat="1" ht="15" customHeight="1">
      <c r="A33" s="55"/>
      <c r="B33" s="138" t="s">
        <v>226</v>
      </c>
      <c r="C33" s="133"/>
    </row>
    <row r="34" spans="1:3" ht="15" customHeight="1">
      <c r="A34" s="55" t="s">
        <v>105</v>
      </c>
      <c r="B34" s="34" t="s">
        <v>21</v>
      </c>
      <c r="C34" s="131" t="s">
        <v>2</v>
      </c>
    </row>
    <row r="35" spans="1:3" ht="15" customHeight="1">
      <c r="A35" s="55" t="s">
        <v>174</v>
      </c>
      <c r="B35" s="34" t="s">
        <v>172</v>
      </c>
      <c r="C35" s="131" t="s">
        <v>2</v>
      </c>
    </row>
    <row r="36" spans="1:3" ht="15" customHeight="1">
      <c r="A36" s="55" t="s">
        <v>175</v>
      </c>
      <c r="B36" s="34" t="s">
        <v>173</v>
      </c>
      <c r="C36" s="131" t="s">
        <v>2</v>
      </c>
    </row>
    <row r="37" spans="1:3" ht="15" customHeight="1">
      <c r="A37" s="55" t="s">
        <v>106</v>
      </c>
      <c r="B37" s="34" t="s">
        <v>107</v>
      </c>
      <c r="C37" s="131" t="s">
        <v>30</v>
      </c>
    </row>
    <row r="38" spans="1:3" ht="15" customHeight="1" hidden="1">
      <c r="A38" s="55" t="s">
        <v>109</v>
      </c>
      <c r="B38" s="34" t="s">
        <v>108</v>
      </c>
      <c r="C38" s="131" t="s">
        <v>30</v>
      </c>
    </row>
    <row r="39" spans="1:3" ht="15" customHeight="1">
      <c r="A39" s="55" t="s">
        <v>110</v>
      </c>
      <c r="B39" s="34" t="s">
        <v>187</v>
      </c>
      <c r="C39" s="131" t="s">
        <v>2</v>
      </c>
    </row>
    <row r="40" spans="1:3" ht="15" customHeight="1" hidden="1">
      <c r="A40" s="55" t="s">
        <v>112</v>
      </c>
      <c r="B40" s="34" t="s">
        <v>111</v>
      </c>
      <c r="C40" s="131" t="s">
        <v>2</v>
      </c>
    </row>
    <row r="41" spans="1:3" ht="15" customHeight="1" hidden="1">
      <c r="A41" s="55" t="s">
        <v>113</v>
      </c>
      <c r="B41" s="34" t="s">
        <v>24</v>
      </c>
      <c r="C41" s="131" t="s">
        <v>2</v>
      </c>
    </row>
    <row r="42" spans="1:3" ht="15" customHeight="1">
      <c r="A42" s="55" t="s">
        <v>114</v>
      </c>
      <c r="B42" s="34" t="s">
        <v>115</v>
      </c>
      <c r="C42" s="131" t="s">
        <v>2</v>
      </c>
    </row>
  </sheetData>
  <sheetProtection password="C77D" sheet="1" objects="1" scenarios="1" selectLockedCells="1" selectUnlockedCells="1"/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2"/>
  <headerFooter alignWithMargins="0">
    <oddHeader>&amp;C&amp;"Arial,Regular"&amp;8printed on &amp;D</oddHeader>
    <oddFooter>&amp;C&amp;"Arial,Regular"&amp;8Firestone BOQ Lining Tool v2009.01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Steen</dc:creator>
  <cp:keywords/>
  <dc:description/>
  <cp:lastModifiedBy>i_vjatskih</cp:lastModifiedBy>
  <cp:lastPrinted>2010-03-19T08:01:44Z</cp:lastPrinted>
  <dcterms:created xsi:type="dcterms:W3CDTF">2009-06-02T15:36:29Z</dcterms:created>
  <dcterms:modified xsi:type="dcterms:W3CDTF">2010-04-03T15:46:27Z</dcterms:modified>
  <cp:category/>
  <cp:version/>
  <cp:contentType/>
  <cp:contentStatus/>
</cp:coreProperties>
</file>